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7691" yWindow="65236" windowWidth="15480" windowHeight="8730" tabRatio="707" activeTab="0"/>
  </bookViews>
  <sheets>
    <sheet name="Appendix A" sheetId="1" r:id="rId1"/>
    <sheet name="Appendix B" sheetId="2" r:id="rId2"/>
    <sheet name="Appendix C" sheetId="3" r:id="rId3"/>
    <sheet name="Appendix D" sheetId="4" r:id="rId4"/>
    <sheet name="Appendix E" sheetId="5" r:id="rId5"/>
    <sheet name="Appendix F" sheetId="6" r:id="rId6"/>
    <sheet name="Graph" sheetId="7" r:id="rId7"/>
    <sheet name="Qrtly Rpt Form" sheetId="8" r:id="rId8"/>
    <sheet name="Timeline" sheetId="9" r:id="rId9"/>
    <sheet name="CP Summary" sheetId="10" r:id="rId10"/>
    <sheet name="CC Summary" sheetId="11" r:id="rId11"/>
    <sheet name="Engineering Summary" sheetId="12" r:id="rId12"/>
    <sheet name="Tariffs Summary" sheetId="13" r:id="rId13"/>
    <sheet name="Finance Summar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WWU">#REF!</definedName>
    <definedName name="CurrCable">#REF!</definedName>
    <definedName name="CurrGas" localSheetId="10">#REF!</definedName>
    <definedName name="CurrGas" localSheetId="9">#REF!</definedName>
    <definedName name="CurrGas" localSheetId="11">#REF!</definedName>
    <definedName name="CurrGas" localSheetId="12">#REF!</definedName>
    <definedName name="CurrGas">#REF!</definedName>
    <definedName name="CurrHeat">#REF!</definedName>
    <definedName name="CurrIXC">#REF!</definedName>
    <definedName name="CurrLeave" localSheetId="10">#REF!</definedName>
    <definedName name="CurrLeave" localSheetId="9">#REF!</definedName>
    <definedName name="CurrLeave" localSheetId="11">#REF!</definedName>
    <definedName name="CurrLeave" localSheetId="12">#REF!</definedName>
    <definedName name="CurrLeave">#REF!</definedName>
    <definedName name="CurrLEC">#REF!</definedName>
    <definedName name="CurrNR_Elect" localSheetId="10">#REF!</definedName>
    <definedName name="CurrNR_Elect" localSheetId="9">#REF!</definedName>
    <definedName name="CurrNR_Elect" localSheetId="11">#REF!</definedName>
    <definedName name="CurrNR_Elect" localSheetId="12">#REF!</definedName>
    <definedName name="CurrNR_Elect">#REF!</definedName>
    <definedName name="CurrPipeline">#REF!</definedName>
    <definedName name="CurrPP" localSheetId="10">#REF!</definedName>
    <definedName name="CurrPP" localSheetId="9">#REF!</definedName>
    <definedName name="CurrPP" localSheetId="11">#REF!</definedName>
    <definedName name="CurrPP" localSheetId="12">#REF!</definedName>
    <definedName name="CurrPP">#REF!</definedName>
    <definedName name="CurrRefuse" localSheetId="10">#REF!</definedName>
    <definedName name="CurrRefuse" localSheetId="9">#REF!</definedName>
    <definedName name="CurrRefuse" localSheetId="11">#REF!</definedName>
    <definedName name="CurrRefuse" localSheetId="12">#REF!</definedName>
    <definedName name="CurrRefuse">#REF!</definedName>
    <definedName name="CurrRegElect" localSheetId="10">#REF!</definedName>
    <definedName name="CurrRegElect" localSheetId="9">#REF!</definedName>
    <definedName name="CurrRegElect" localSheetId="11">#REF!</definedName>
    <definedName name="CurrRegElect" localSheetId="12">#REF!</definedName>
    <definedName name="CurrRegElect">#REF!</definedName>
    <definedName name="CurrSupAdmin" localSheetId="10">#REF!</definedName>
    <definedName name="CurrSupAdmin" localSheetId="9">#REF!</definedName>
    <definedName name="CurrSupAdmin" localSheetId="11">#REF!</definedName>
    <definedName name="CurrSupAdmin" localSheetId="12">#REF!</definedName>
    <definedName name="CurrSupAdmin">#REF!</definedName>
    <definedName name="CurrTelecomm" localSheetId="10">#REF!</definedName>
    <definedName name="CurrTelecomm" localSheetId="9">#REF!</definedName>
    <definedName name="CurrTelecomm" localSheetId="11">#REF!</definedName>
    <definedName name="CurrTelecomm" localSheetId="12">#REF!</definedName>
    <definedName name="CurrTelecomm">#REF!</definedName>
    <definedName name="CurrWW" localSheetId="10">#REF!</definedName>
    <definedName name="CurrWW" localSheetId="9">#REF!</definedName>
    <definedName name="CurrWW" localSheetId="11">#REF!</definedName>
    <definedName name="CurrWW" localSheetId="12">#REF!</definedName>
    <definedName name="CurrWW">#REF!</definedName>
    <definedName name="CY2000_Dates" localSheetId="10">#REF!</definedName>
    <definedName name="CY2000_Dates" localSheetId="9">'CP Summary'!$A$21:$A$32</definedName>
    <definedName name="CY2000_Dates" localSheetId="11">'Engineering Summary'!$A$21:$A$32</definedName>
    <definedName name="CY2000_Dates" localSheetId="13">'Finance Summary'!$A$21:$A$32</definedName>
    <definedName name="CY2000_Dates" localSheetId="12">'Tariffs Summary'!$A$21:$A$32</definedName>
    <definedName name="CY2000_Dates">#REF!</definedName>
    <definedName name="_xlnm.Print_Area" localSheetId="0">'Appendix A'!$A$1:$L$42</definedName>
    <definedName name="_xlnm.Print_Area" localSheetId="5">'Appendix F'!$A$1:$P$40</definedName>
    <definedName name="_xlnm.Print_Area" localSheetId="6">'Graph'!$A$1:$L$37</definedName>
    <definedName name="_xlnm.Print_Area" localSheetId="7">'Qrtly Rpt Form'!$A$4:$G$151</definedName>
    <definedName name="_xlnm.Print_Area" localSheetId="12">'Tariffs Summary'!$A$1:$P$39</definedName>
    <definedName name="PW_List">#REF!</definedName>
  </definedNames>
  <calcPr fullCalcOnLoad="1"/>
</workbook>
</file>

<file path=xl/comments1.xml><?xml version="1.0" encoding="utf-8"?>
<comments xmlns="http://schemas.openxmlformats.org/spreadsheetml/2006/main">
  <authors>
    <author>Joyce McGowan</author>
  </authors>
  <commentList>
    <comment ref="K16" authorId="0">
      <text>
        <r>
          <rPr>
            <b/>
            <sz val="8"/>
            <rFont val="Tahoma"/>
            <family val="0"/>
          </rPr>
          <t>J</t>
        </r>
        <r>
          <rPr>
            <b/>
            <sz val="10"/>
            <rFont val="Tahoma"/>
            <family val="2"/>
          </rPr>
          <t>oyce McGowan:</t>
        </r>
        <r>
          <rPr>
            <sz val="10"/>
            <rFont val="Tahoma"/>
            <family val="2"/>
          </rPr>
          <t xml:space="preserve">
25% Commissioner's Time
$149,516 x .25 = $37,379
$144,710 -One Full Time ALJ
</t>
        </r>
      </text>
    </comment>
  </commentList>
</comments>
</file>

<file path=xl/comments10.xml><?xml version="1.0" encoding="utf-8"?>
<comments xmlns="http://schemas.openxmlformats.org/spreadsheetml/2006/main">
  <authors>
    <author>dawheeler2</author>
  </authors>
  <commentList>
    <comment ref="J6" authorId="0">
      <text>
        <r>
          <rPr>
            <b/>
            <sz val="8"/>
            <rFont val="Tahoma"/>
            <family val="0"/>
          </rPr>
          <t>dawheeler2:</t>
        </r>
        <r>
          <rPr>
            <sz val="8"/>
            <rFont val="Tahoma"/>
            <family val="0"/>
          </rPr>
          <t xml:space="preserve">
Includes PPTP and 1/2 of Directory Assistance</t>
        </r>
      </text>
    </comment>
    <comment ref="K6" authorId="0">
      <text>
        <r>
          <rPr>
            <b/>
            <sz val="8"/>
            <rFont val="Tahoma"/>
            <family val="0"/>
          </rPr>
          <t>dawheeler2:</t>
        </r>
        <r>
          <rPr>
            <sz val="8"/>
            <rFont val="Tahoma"/>
            <family val="0"/>
          </rPr>
          <t xml:space="preserve">
Includes 1/2 of Directory Assistance</t>
        </r>
      </text>
    </comment>
  </commentList>
</comments>
</file>

<file path=xl/sharedStrings.xml><?xml version="1.0" encoding="utf-8"?>
<sst xmlns="http://schemas.openxmlformats.org/spreadsheetml/2006/main" count="851" uniqueCount="441">
  <si>
    <t>Electric Utilities</t>
  </si>
  <si>
    <t>Gas Utilities</t>
  </si>
  <si>
    <t>Water &amp; Wastewater Utilities</t>
  </si>
  <si>
    <t>Local Exchange Telephone Utilities</t>
  </si>
  <si>
    <t>Interexchange Telephone Utilities</t>
  </si>
  <si>
    <t>Cable Television Utilities</t>
  </si>
  <si>
    <t>Steam Heat Utilities</t>
  </si>
  <si>
    <t>/kWh</t>
  </si>
  <si>
    <t>Payroll Period Ending:</t>
  </si>
  <si>
    <t>Supervisor</t>
  </si>
  <si>
    <t>Regulated</t>
  </si>
  <si>
    <t>Water &amp;</t>
  </si>
  <si>
    <t>ADMIN</t>
  </si>
  <si>
    <t>LEAVE</t>
  </si>
  <si>
    <t>Electric</t>
  </si>
  <si>
    <t>Gas</t>
  </si>
  <si>
    <t>Wastewater</t>
  </si>
  <si>
    <t>Refuse</t>
  </si>
  <si>
    <t>LEC</t>
  </si>
  <si>
    <t>IXC</t>
  </si>
  <si>
    <t>Cable</t>
  </si>
  <si>
    <t>Pipeline</t>
  </si>
  <si>
    <t>Heat</t>
  </si>
  <si>
    <t>Total</t>
  </si>
  <si>
    <t>Total Direct Industry</t>
  </si>
  <si>
    <t xml:space="preserve"> </t>
  </si>
  <si>
    <t>RCC</t>
  </si>
  <si>
    <t>Water &amp; Wastewater</t>
  </si>
  <si>
    <t>Local Exchange Telephone</t>
  </si>
  <si>
    <t>Interexchange Telephone</t>
  </si>
  <si>
    <t>Steam Heat</t>
  </si>
  <si>
    <t>Revenue</t>
  </si>
  <si>
    <t>A</t>
  </si>
  <si>
    <t>B</t>
  </si>
  <si>
    <t>C</t>
  </si>
  <si>
    <t>D</t>
  </si>
  <si>
    <t>E</t>
  </si>
  <si>
    <t>Issue order establishing RCC rates and effective dates</t>
  </si>
  <si>
    <t>3 AAC 47.30(e)</t>
  </si>
  <si>
    <t>RCC Amount</t>
  </si>
  <si>
    <t>Steam</t>
  </si>
  <si>
    <t>Telephone</t>
  </si>
  <si>
    <t>Regulatory Commission of Alaska</t>
  </si>
  <si>
    <t>Regulatory Cost Charge Quarterly Return</t>
  </si>
  <si>
    <t>Federal EIN</t>
  </si>
  <si>
    <t>Quarter (Check one)</t>
  </si>
  <si>
    <t>Corporation or Individual Name</t>
  </si>
  <si>
    <t>Mailing Address</t>
  </si>
  <si>
    <t>City</t>
  </si>
  <si>
    <t>State</t>
  </si>
  <si>
    <t>Zip Code</t>
  </si>
  <si>
    <t>Fax Number</t>
  </si>
  <si>
    <t>Contact Person</t>
  </si>
  <si>
    <t>Title</t>
  </si>
  <si>
    <t>Contact Telephone Number</t>
  </si>
  <si>
    <t>Regulatory Cost Charge Computation</t>
  </si>
  <si>
    <t>Please fill in only the relevant category</t>
  </si>
  <si>
    <t>Column A</t>
  </si>
  <si>
    <t>Column B</t>
  </si>
  <si>
    <t>Column C</t>
  </si>
  <si>
    <t>KWh or RCC</t>
  </si>
  <si>
    <t>Rate</t>
  </si>
  <si>
    <t>Column A x B</t>
  </si>
  <si>
    <t>a)</t>
  </si>
  <si>
    <t>Regulated Electric Utilities</t>
  </si>
  <si>
    <t xml:space="preserve">   Total kWh Sold</t>
  </si>
  <si>
    <t xml:space="preserve">   Less Sale for Resale</t>
  </si>
  <si>
    <t>Total kWh Subject to RCC</t>
  </si>
  <si>
    <t>b)</t>
  </si>
  <si>
    <t>Regulated Local Exchange Telephone Utilities</t>
  </si>
  <si>
    <t xml:space="preserve">   Total Gross Revenue</t>
  </si>
  <si>
    <t xml:space="preserve">   Less Access Charges (accts 5081-5084)</t>
  </si>
  <si>
    <t xml:space="preserve">   Less Billing &amp; Collections (accts 5270-5280)</t>
  </si>
  <si>
    <t xml:space="preserve">   Less Yellow Pages (acct 5230)</t>
  </si>
  <si>
    <t>c)</t>
  </si>
  <si>
    <t>Regulated Interexchange Telephone Utilities</t>
  </si>
  <si>
    <t xml:space="preserve">   Less Access Charges </t>
  </si>
  <si>
    <t xml:space="preserve">   Less Billing &amp; Collections </t>
  </si>
  <si>
    <t xml:space="preserve">   Less Yellow Pages </t>
  </si>
  <si>
    <t>d)</t>
  </si>
  <si>
    <t>Pipeline Carriers</t>
  </si>
  <si>
    <t>e)</t>
  </si>
  <si>
    <t>Natural Gas Utilities</t>
  </si>
  <si>
    <t>f)</t>
  </si>
  <si>
    <t>Refuse Utilities</t>
  </si>
  <si>
    <t xml:space="preserve">   Less Exclusions (Please describe below)</t>
  </si>
  <si>
    <t>g)</t>
  </si>
  <si>
    <t>Water and Wastewater Utilities</t>
  </si>
  <si>
    <t>h)</t>
  </si>
  <si>
    <t>Regulated Cable Utilities</t>
  </si>
  <si>
    <t xml:space="preserve">   Less Sales for Other than Basic Service</t>
  </si>
  <si>
    <t>District Heat Utilities</t>
  </si>
  <si>
    <t>Regulatory Cost Charge (Total Column C)</t>
  </si>
  <si>
    <t>Alaska Department of Revenue</t>
  </si>
  <si>
    <t>P. O. Box 110420</t>
  </si>
  <si>
    <t>701 W. 8th Avenue, Suite 300</t>
  </si>
  <si>
    <t>Juneau, Alaska  99811-0420</t>
  </si>
  <si>
    <t>Anchorage, Alaska  99501</t>
  </si>
  <si>
    <t>(907) 465-2320 Fax (907) 465-2375</t>
  </si>
  <si>
    <t>(907) 276-6222 Fax (907) 276-0160</t>
  </si>
  <si>
    <t>PLEASE NOTE:</t>
  </si>
  <si>
    <t>If your total liability exceeds $100,000 you must wire transfer the funds in accordance with 15 AAC 05.310.</t>
  </si>
  <si>
    <t>Wire Transfer</t>
  </si>
  <si>
    <t>Yes</t>
  </si>
  <si>
    <t>No</t>
  </si>
  <si>
    <t>I hereby affirm that any regulatory cost charge due for the preceding quarter have been paid to the Department of Revenue.</t>
  </si>
  <si>
    <t>Signature</t>
  </si>
  <si>
    <t>Type or Print Name</t>
  </si>
  <si>
    <t>Date</t>
  </si>
  <si>
    <t>NOTARY PUBLIC</t>
  </si>
  <si>
    <t>Commission Expires</t>
  </si>
  <si>
    <t>I declare under penalty of unsworn falsification that I have examined this return, including accompanying schedules and statements, and to</t>
  </si>
  <si>
    <t xml:space="preserve">the best of my knowledge and belief it is true, correct, and complete.  If prepared by a person other than the utility principal, preparer's </t>
  </si>
  <si>
    <t xml:space="preserve">declaration is based on all information of which preparer has any knowledge.  </t>
  </si>
  <si>
    <t>RCA Common Carrier Section</t>
  </si>
  <si>
    <t>Industry by Hours</t>
  </si>
  <si>
    <t>RCA Consumer Protection Section</t>
  </si>
  <si>
    <t>RCA Engineering Section</t>
  </si>
  <si>
    <t>RCA Tariffs Section</t>
  </si>
  <si>
    <t>RCA Finance Section</t>
  </si>
  <si>
    <t>Non</t>
  </si>
  <si>
    <t>3 AAC 47.30(b) (within 30 days of A)</t>
  </si>
  <si>
    <t>Public Hearing</t>
  </si>
  <si>
    <t>RCA Direct Labor Summary</t>
  </si>
  <si>
    <t xml:space="preserve">Payroll Period </t>
  </si>
  <si>
    <t>Ending:</t>
  </si>
  <si>
    <t>ALLOCATION OF RCC TO REGULATED INDUSTRY SECTORS</t>
  </si>
  <si>
    <t>$ Variance</t>
  </si>
  <si>
    <t>% Variance</t>
  </si>
  <si>
    <t>X - Allowance for Uncollectables</t>
  </si>
  <si>
    <t>R - Total RCA Requirement from RCC (B - E + X)</t>
  </si>
  <si>
    <t>N - RCA Requirement Non-Directly Assignable to Regulated Sectors</t>
  </si>
  <si>
    <t>Allocation to Regulated Sectors of Requirement Non-Directly Assignable</t>
  </si>
  <si>
    <t>R - Total RCA Requirement Fully Allocated to Regulated Sectors</t>
  </si>
  <si>
    <t>% of Total RCA Requirement Allocated to Regulated Sectors</t>
  </si>
  <si>
    <r>
      <t>A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 xml:space="preserve"> - RCA Requirement Recoverable through RCC</t>
    </r>
  </si>
  <si>
    <r>
      <t>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 xml:space="preserve"> - DOL-RAPA Costs Recoverable through RCC</t>
    </r>
  </si>
  <si>
    <r>
      <t>A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 xml:space="preserve"> + A</t>
    </r>
    <r>
      <rPr>
        <vertAlign val="subscript"/>
        <sz val="11"/>
        <rFont val="Arial"/>
        <family val="2"/>
      </rPr>
      <t xml:space="preserve">2 - </t>
    </r>
    <r>
      <rPr>
        <sz val="11"/>
        <rFont val="Arial"/>
        <family val="0"/>
      </rPr>
      <t>Total amount recoverable through RCC</t>
    </r>
  </si>
  <si>
    <t>Total DOL-RAPA Costs Fully Allocated to Regulated Sectors</t>
  </si>
  <si>
    <t>(limited by .17% statutory cap, AS 42.05.254(a), AS 42.06.286(a))</t>
  </si>
  <si>
    <t>Deadline for filing comments from utilities and for DOL-RAPA to file certified cost allocation</t>
  </si>
  <si>
    <t>DOL-RAPA provides preliminary cost allocation</t>
  </si>
  <si>
    <t>F</t>
  </si>
  <si>
    <t>3 AAC 47.30(c) (within 30 days of C)</t>
  </si>
  <si>
    <t>G</t>
  </si>
  <si>
    <t>3 AAC 47.30(d) (within 60 days of C)</t>
  </si>
  <si>
    <t>Total RCA FY08 Budget</t>
  </si>
  <si>
    <t>Grand Total</t>
  </si>
  <si>
    <r>
      <t>RCCs - (A</t>
    </r>
    <r>
      <rPr>
        <vertAlign val="subscript"/>
        <sz val="11"/>
        <rFont val="Arial"/>
        <family val="0"/>
      </rPr>
      <t>1</t>
    </r>
    <r>
      <rPr>
        <sz val="11"/>
        <rFont val="Arial"/>
        <family val="0"/>
      </rPr>
      <t xml:space="preserve"> + A</t>
    </r>
    <r>
      <rPr>
        <vertAlign val="subscript"/>
        <sz val="11"/>
        <rFont val="Arial"/>
        <family val="0"/>
      </rPr>
      <t>2</t>
    </r>
    <r>
      <rPr>
        <sz val="11"/>
        <rFont val="Arial"/>
        <family val="0"/>
      </rPr>
      <t>) divided by regulated sector's GR (Retail kWh for</t>
    </r>
  </si>
  <si>
    <t>Electric)</t>
  </si>
  <si>
    <t>ORIGINAL</t>
  </si>
  <si>
    <t>Fiscal Note SCS CSHB 209(FIN)</t>
  </si>
  <si>
    <t>FY2008 RCC Rates Effective Date</t>
  </si>
  <si>
    <t>FY08 Operating Budget (CCS HB 95(Corrected))</t>
  </si>
  <si>
    <t>Pipeline Litigation Costs (Ch. 10 SLA 07)</t>
  </si>
  <si>
    <t>Invoice Date</t>
  </si>
  <si>
    <t>Invoice#</t>
  </si>
  <si>
    <t>Type of Utility</t>
  </si>
  <si>
    <t>Amount</t>
  </si>
  <si>
    <t>Subtotal</t>
  </si>
  <si>
    <t>Total Gas</t>
  </si>
  <si>
    <t>Telephone LEC</t>
  </si>
  <si>
    <t>Telephone IXC</t>
  </si>
  <si>
    <t>Hydro Electric</t>
  </si>
  <si>
    <t>Total Pipeline</t>
  </si>
  <si>
    <t>Total Electric</t>
  </si>
  <si>
    <t>Total Telephone LEC</t>
  </si>
  <si>
    <t>Total Telephone IXC</t>
  </si>
  <si>
    <t>Total Refuse</t>
  </si>
  <si>
    <t>Breakdown by industry</t>
  </si>
  <si>
    <t>Water/Wastewater</t>
  </si>
  <si>
    <t>less: Other Receipts (Est.)</t>
  </si>
  <si>
    <t>RCA Requirement Recoverable through RCC</t>
  </si>
  <si>
    <t>Industry Revenues Subject to RCC</t>
  </si>
  <si>
    <t>Total RCA Requirement from RCC</t>
  </si>
  <si>
    <t>AS 42.05.254(a) and AS 42.06.286(a) statutory cap</t>
  </si>
  <si>
    <t>Unrecoverable through RCC</t>
  </si>
  <si>
    <t>D - RCA Requirement Directly Assignable  - Pipeline Personnel</t>
  </si>
  <si>
    <t xml:space="preserve"> S**  </t>
  </si>
  <si>
    <t xml:space="preserve"> S** </t>
  </si>
  <si>
    <t>General Advice to RCA</t>
  </si>
  <si>
    <t>Total Hydro</t>
  </si>
  <si>
    <t>Total General Advise to RCA</t>
  </si>
  <si>
    <t>Hydro</t>
  </si>
  <si>
    <t>General Advise to RCA</t>
  </si>
  <si>
    <t>AMENDED</t>
  </si>
  <si>
    <t>MAKE PAYMENT TO:</t>
  </si>
  <si>
    <t>MAIL ORIGINAL TO:</t>
  </si>
  <si>
    <t>Subscribed and Sworn  to before me this _____ day of ___________, 20__</t>
  </si>
  <si>
    <t xml:space="preserve">ALERT:  IF YOU FILE OVER THE WEB YOU DO NOT HAVE TO SUBMIT A HARDCOPY RETURN. </t>
  </si>
  <si>
    <t>FOR MORE DETAILS CONTACT THE RCA AT (907) 276-6222 OR 1-800-390-2782</t>
  </si>
  <si>
    <t xml:space="preserve">   Less Uncollectable Revenue</t>
  </si>
  <si>
    <t xml:space="preserve">   Gross Intrastate Pipeline Revenue</t>
  </si>
  <si>
    <t>Total Adjusted Gross Revenues Subject to RCC</t>
  </si>
  <si>
    <t>CPCN (required)</t>
  </si>
  <si>
    <t>unallocated time</t>
  </si>
  <si>
    <t>Unallocated time</t>
  </si>
  <si>
    <t>Holidays &amp;</t>
  </si>
  <si>
    <t>Registrations</t>
  </si>
  <si>
    <t>FY10 RCC Rates Calculation Timeline</t>
  </si>
  <si>
    <t>U-09-?? / P-09-??</t>
  </si>
  <si>
    <t>REGULATORY COST CHARGE RATES CALCULATION FOR FY 2010</t>
  </si>
  <si>
    <t>Provisionals/</t>
  </si>
  <si>
    <t>Non Reg.</t>
  </si>
  <si>
    <t>Electric (PCE)</t>
  </si>
  <si>
    <t>Supervisory/</t>
  </si>
  <si>
    <t>Unallocated</t>
  </si>
  <si>
    <t>B - RCA FY10 Budget</t>
  </si>
  <si>
    <t>Total RCA FY10 Budget</t>
  </si>
  <si>
    <t>FY2010 budget passed by Legislature HB 81</t>
  </si>
  <si>
    <t>5/15/2008</t>
  </si>
  <si>
    <t>5/31/2008</t>
  </si>
  <si>
    <t>6/15/2008</t>
  </si>
  <si>
    <t>6/30/2008</t>
  </si>
  <si>
    <t>7/15/2008</t>
  </si>
  <si>
    <t>7/31/2008</t>
  </si>
  <si>
    <t>8/15/2008</t>
  </si>
  <si>
    <t>8/31/2008</t>
  </si>
  <si>
    <t>9/15/2008</t>
  </si>
  <si>
    <t>9/30/2008</t>
  </si>
  <si>
    <t>10/15/2008</t>
  </si>
  <si>
    <t>10/31/2008</t>
  </si>
  <si>
    <t>11/15/2008</t>
  </si>
  <si>
    <t>11/30/2008</t>
  </si>
  <si>
    <t>12/15/2008</t>
  </si>
  <si>
    <t>12/31/2008</t>
  </si>
  <si>
    <t>1/15/2009</t>
  </si>
  <si>
    <t>1/31/2009</t>
  </si>
  <si>
    <t>2/15/2009</t>
  </si>
  <si>
    <t>2/28/2009</t>
  </si>
  <si>
    <t>3/15/2009</t>
  </si>
  <si>
    <t>3/31/2009</t>
  </si>
  <si>
    <t>4/15/2009</t>
  </si>
  <si>
    <t>4/30/2009</t>
  </si>
  <si>
    <t xml:space="preserve">Cable - </t>
  </si>
  <si>
    <t>Holiday &amp;</t>
  </si>
  <si>
    <t>All</t>
  </si>
  <si>
    <t>Totals</t>
  </si>
  <si>
    <t>FY10 Operating Budget ( HB 81)</t>
  </si>
  <si>
    <t>Total Direct Industry - CP, CC, Eng, Fin, Tariffs</t>
  </si>
  <si>
    <t>Provisionals/ Registrations</t>
  </si>
  <si>
    <t xml:space="preserve"> 7960400-</t>
  </si>
  <si>
    <t xml:space="preserve"> S**</t>
  </si>
  <si>
    <t xml:space="preserve">                                                                                </t>
  </si>
  <si>
    <t>FY09 Expenditures</t>
  </si>
  <si>
    <t>Total Pipleline Legal Counsel Contracts</t>
  </si>
  <si>
    <t>Total General Advice to RCA Legal Counsel Contracts</t>
  </si>
  <si>
    <t>Telecom Wireless</t>
  </si>
  <si>
    <t xml:space="preserve">(RSA - DOL) Legal Counsel Total: </t>
  </si>
  <si>
    <t>Total Telecom Wireless</t>
  </si>
  <si>
    <t>Total Water &amp; Wastewater</t>
  </si>
  <si>
    <t>(Jul. 1  -  Oct. 31, 2009)</t>
  </si>
  <si>
    <t>(Oct. 1 - Dec. 31, 2009)</t>
  </si>
  <si>
    <t>(Jan. 1 - Mar. 31, 2010)</t>
  </si>
  <si>
    <t>(Apr. 1 - Jun. 30, 2010)</t>
  </si>
  <si>
    <t>F - RCA Labor Ratios (Appendix F)</t>
  </si>
  <si>
    <t>See Star Report:  RCC_Calc_Appendix B_Revenues_Subject_To_RCCs</t>
  </si>
  <si>
    <t>Outside Legal Counsel</t>
  </si>
  <si>
    <t>Outside Legal Counsel Contracts Total</t>
  </si>
  <si>
    <t xml:space="preserve">RSA Department of Law </t>
  </si>
  <si>
    <t xml:space="preserve"> APPROPRIATION RESTRICTED REVENUES BY ACCOUNT                                   </t>
  </si>
  <si>
    <t xml:space="preserve"> 29640-09 REGULATORY COMMISSIO ORIG:09 APPROPRIATIONS       (T   B S R) FN:11100</t>
  </si>
  <si>
    <t xml:space="preserve"> COA:2009                                    </t>
  </si>
  <si>
    <t xml:space="preserve"> ORG SUP  </t>
  </si>
  <si>
    <t xml:space="preserve">ITD  </t>
  </si>
  <si>
    <t xml:space="preserve">    ITD   </t>
  </si>
  <si>
    <t xml:space="preserve">   ITD    </t>
  </si>
  <si>
    <t xml:space="preserve">         </t>
  </si>
  <si>
    <t xml:space="preserve"> ENTITY NUMBER</t>
  </si>
  <si>
    <t xml:space="preserve">   DESCRIPTION </t>
  </si>
  <si>
    <t xml:space="preserve">     RP RST   </t>
  </si>
  <si>
    <t xml:space="preserve">ACTUAL  </t>
  </si>
  <si>
    <t xml:space="preserve"> ENCUMB  </t>
  </si>
  <si>
    <t xml:space="preserve"> BALANCE   </t>
  </si>
  <si>
    <t xml:space="preserve">TOT RESTRICTD REVENU          </t>
  </si>
  <si>
    <t xml:space="preserve">REST REVS-PRECLOSING </t>
  </si>
  <si>
    <t xml:space="preserve">         7960400-</t>
  </si>
  <si>
    <t>OPERATING REST REVS</t>
  </si>
  <si>
    <t xml:space="preserve">          7960400-</t>
  </si>
  <si>
    <t xml:space="preserve">PROGRAM RECEIPTS TOT  </t>
  </si>
  <si>
    <t xml:space="preserve">      7960400-</t>
  </si>
  <si>
    <t xml:space="preserve">GF PROGRAM RECEIPTS   </t>
  </si>
  <si>
    <t xml:space="preserve">OTHER PROG REC GF  </t>
  </si>
  <si>
    <t xml:space="preserve"> RCA REC AS 42.05&amp; 06</t>
  </si>
  <si>
    <t xml:space="preserve">       7960400-</t>
  </si>
  <si>
    <t xml:space="preserve"> UTIL REGULATORY COST</t>
  </si>
  <si>
    <t xml:space="preserve"> UTIL APPLICATION FEE  </t>
  </si>
  <si>
    <t xml:space="preserve"> UTIL HEARING REIMBRS   </t>
  </si>
  <si>
    <t xml:space="preserve"> PUBLIC DOCUMENT SALE </t>
  </si>
  <si>
    <t xml:space="preserve"> APPROPRIATION EXPENDITURES BY ACCOUNT                                          </t>
  </si>
  <si>
    <t xml:space="preserve"> COA:2009                                     </t>
  </si>
  <si>
    <t xml:space="preserve"> ORG SUP </t>
  </si>
  <si>
    <t xml:space="preserve"> ITD     </t>
  </si>
  <si>
    <t xml:space="preserve"> ITD  </t>
  </si>
  <si>
    <t xml:space="preserve"> ENTITY NUMBER  </t>
  </si>
  <si>
    <t xml:space="preserve">DESCRIPTION </t>
  </si>
  <si>
    <t xml:space="preserve">ACTUAL    </t>
  </si>
  <si>
    <t xml:space="preserve">ENCUMB   </t>
  </si>
  <si>
    <t xml:space="preserve">BALANCE  </t>
  </si>
  <si>
    <t xml:space="preserve">TOTAL EXPENDITURES  </t>
  </si>
  <si>
    <t xml:space="preserve">TOT EXPS-PRECLOSING  </t>
  </si>
  <si>
    <t xml:space="preserve">OPERATING ACCT TOTAL </t>
  </si>
  <si>
    <t xml:space="preserve">GROUP CTRL-PER SER </t>
  </si>
  <si>
    <t xml:space="preserve">PERSONAL SERVICES </t>
  </si>
  <si>
    <t xml:space="preserve">GROUP CTRL - OTHER  </t>
  </si>
  <si>
    <t xml:space="preserve">GC-OTHER-NONGRANT  </t>
  </si>
  <si>
    <t xml:space="preserve">TRAVEL  </t>
  </si>
  <si>
    <t xml:space="preserve">SERVICES   </t>
  </si>
  <si>
    <t xml:space="preserve">COMMODITIES  </t>
  </si>
  <si>
    <t xml:space="preserve">CAPITAL OUTLAY   </t>
  </si>
  <si>
    <t xml:space="preserve">    29719-</t>
  </si>
  <si>
    <t>Estimated Shortfall (Carryover)</t>
  </si>
  <si>
    <t xml:space="preserve"> Application Fees</t>
  </si>
  <si>
    <t xml:space="preserve"> Hearing Reimbursements</t>
  </si>
  <si>
    <t xml:space="preserve"> Public Document Sales</t>
  </si>
  <si>
    <t xml:space="preserve"> - </t>
  </si>
  <si>
    <t>% of Total DOL-RAPA Costs Fully Allocated to Regulated Sectors</t>
  </si>
  <si>
    <t>Issue order and notice of proposed RCC to public and utilities</t>
  </si>
  <si>
    <t>5934997-</t>
  </si>
  <si>
    <t>13693-</t>
  </si>
  <si>
    <t xml:space="preserve">    4873-</t>
  </si>
  <si>
    <t xml:space="preserve">    697-</t>
  </si>
  <si>
    <t>2008 Electric Retail kWh (Column F, Appendix C)</t>
  </si>
  <si>
    <t>Note:  Doyon's entry in August 2008 as a utility for military bases has increased reported revenues in gas, steam heat, and water\wastewater</t>
  </si>
  <si>
    <t>Recoverable (Unrecoverable) through RCC:  (C6*.007)-C22</t>
  </si>
  <si>
    <t>lessor of C22 or (C6*.007)</t>
  </si>
  <si>
    <t>(limited by .70% statutory cap, AS 42.05.254(a), AS 42.06.286(a)):</t>
  </si>
  <si>
    <t>CPCN</t>
  </si>
  <si>
    <t>Entity</t>
  </si>
  <si>
    <t>Annual Report Due Date</t>
  </si>
  <si>
    <t>Data Year: (last reported Year)</t>
  </si>
  <si>
    <t>A 
Gross Operating Revenue</t>
  </si>
  <si>
    <t>B 
Revenues From Resale</t>
  </si>
  <si>
    <t>C
Power Production Expense</t>
  </si>
  <si>
    <t>D
Total kWh Sold</t>
  </si>
  <si>
    <t>E 
Resale kWh Sold</t>
  </si>
  <si>
    <t>F = D - E 
Retail kWh Sold</t>
  </si>
  <si>
    <t>G=E/D 
% Resale Sales</t>
  </si>
  <si>
    <t>H = C x G 
Resale Power Production Expense</t>
  </si>
  <si>
    <t>I = (A-B-C) + H 
RCC Revenue</t>
  </si>
  <si>
    <t>1</t>
  </si>
  <si>
    <t>ALASKA ELECTRIC LIGHT &amp; POWER COMPANY</t>
  </si>
  <si>
    <t>March 31</t>
  </si>
  <si>
    <t>2008</t>
  </si>
  <si>
    <t>2</t>
  </si>
  <si>
    <t>ALASKA POWER COMPANY</t>
  </si>
  <si>
    <t>5</t>
  </si>
  <si>
    <t>ANIAK LIGHT AND POWER COMPANY, INC.</t>
  </si>
  <si>
    <t>September 30</t>
  </si>
  <si>
    <t>Note 1. (-772654)</t>
  </si>
  <si>
    <t>43</t>
  </si>
  <si>
    <t>BETHEL UTILITIES CORPORATION</t>
  </si>
  <si>
    <t>341</t>
  </si>
  <si>
    <t>CENTRAL ELECTRIC, INC.</t>
  </si>
  <si>
    <t>437</t>
  </si>
  <si>
    <t>CHIGNIK LAKE ELECTRIC UTILITY, INC.</t>
  </si>
  <si>
    <t>2006</t>
  </si>
  <si>
    <t>8</t>
  </si>
  <si>
    <t>CHUGACH ELECTRIC ASSOCIATION, INC.</t>
  </si>
  <si>
    <t>720</t>
  </si>
  <si>
    <t>DOYON UTILITIES, LLC - ELECTRIC UTILITY - FORT GREELY</t>
  </si>
  <si>
    <t>Note 3.</t>
  </si>
  <si>
    <t>724</t>
  </si>
  <si>
    <t>DOYON UTILITIES, LLC - ELECTRIC UTILITY - FORT RICHARDSON</t>
  </si>
  <si>
    <t>726</t>
  </si>
  <si>
    <t>DOYON UTILITIES, LLC - ELECTRIC UTILITY - FORT WAINWRIGHT</t>
  </si>
  <si>
    <t>88</t>
  </si>
  <si>
    <t>G &amp; K, Inc.</t>
  </si>
  <si>
    <t>13</t>
  </si>
  <si>
    <t>Golden Valley Electric Association, Inc.</t>
  </si>
  <si>
    <t>417</t>
  </si>
  <si>
    <t>GUSTAVUS ELECTRIC COMPANY, INC.</t>
  </si>
  <si>
    <t>63</t>
  </si>
  <si>
    <t>Gwitchyaa Zhee Utility Company</t>
  </si>
  <si>
    <t>July 31</t>
  </si>
  <si>
    <t>32</t>
  </si>
  <si>
    <t>Homer Electric Association, Inc.</t>
  </si>
  <si>
    <t>320</t>
  </si>
  <si>
    <t>HOMER LEE LEONARD D/B/A EGEGIK LIGHT AND POWER COMPANY</t>
  </si>
  <si>
    <t>240</t>
  </si>
  <si>
    <t>INSIDE PASSAGE ELECTRIC COOPERATIVE, INC.</t>
  </si>
  <si>
    <t>24</t>
  </si>
  <si>
    <t>Kake Tribal Corporation</t>
  </si>
  <si>
    <t>446</t>
  </si>
  <si>
    <t>Kipnuk Light Plant</t>
  </si>
  <si>
    <t>2007</t>
  </si>
  <si>
    <t>710</t>
  </si>
  <si>
    <t>KWAAN ELECTRIC TRANSMISSION INTERTIE COOPERATIVE, INC.</t>
  </si>
  <si>
    <t>570</t>
  </si>
  <si>
    <t>Lime Village Traditional Council</t>
  </si>
  <si>
    <t>18</t>
  </si>
  <si>
    <t>Matanuska Electric Association, Inc.</t>
  </si>
  <si>
    <t>44</t>
  </si>
  <si>
    <t>McGrath Light &amp; Power Co.</t>
  </si>
  <si>
    <t>December 31</t>
  </si>
  <si>
    <t>Note 1. (-665204.68)</t>
  </si>
  <si>
    <t>343</t>
  </si>
  <si>
    <t>Middle Kuskokwim Electric Cooperative, Inc.</t>
  </si>
  <si>
    <t>121</t>
  </si>
  <si>
    <t>Municipality of Anchorage d/b/a Municipal Light &amp; Power Department</t>
  </si>
  <si>
    <t>319</t>
  </si>
  <si>
    <t>Napakiak Ircinaq Power Company</t>
  </si>
  <si>
    <t>January 31</t>
  </si>
  <si>
    <t>230</t>
  </si>
  <si>
    <t>SAND POINT GENERATING, LLC</t>
  </si>
  <si>
    <t>92</t>
  </si>
  <si>
    <t>TANANA POWER COMPANY, INC.</t>
  </si>
  <si>
    <t>72</t>
  </si>
  <si>
    <t>TDX Manley Generating, LLC</t>
  </si>
  <si>
    <t>note 2.</t>
  </si>
  <si>
    <t>227</t>
  </si>
  <si>
    <t>TDX NORTH SLOPE GENERATING, INC.</t>
  </si>
  <si>
    <t>TOTALS:</t>
  </si>
  <si>
    <t>Certificates:  30</t>
  </si>
  <si>
    <t xml:space="preserve">Notes:  </t>
  </si>
  <si>
    <t>Chugach (Certificate 8) deducts City of Seward data from Revenues from Resale and Resale Kwh sold.</t>
  </si>
  <si>
    <t>1.  Negative revenues would lower this utility sector's share of the gross revenue subject to RCCs.  We have treated the negative revenues as 0.00 in this calculation.</t>
  </si>
  <si>
    <t>2.  TDX updated from original amount of 99,411since Order 1.</t>
  </si>
  <si>
    <t>3.  Doyon Gross Revenue deducted in total.</t>
  </si>
  <si>
    <t>Tax Division</t>
  </si>
  <si>
    <t>GRs - 2008 Industry Revenues Subject to RCC Appendices B &amp; C*</t>
  </si>
  <si>
    <t>D - Directly Assignable  - Legal Counsel (Appendix E)</t>
  </si>
  <si>
    <t>E - Other Receipts (Est.) (Appendix D)</t>
  </si>
  <si>
    <t>*Appendices referenced in this document are available on our website or by written request</t>
  </si>
  <si>
    <t xml:space="preserve"> AR BALANCE - AUTH INCLUDES RESTRICTIONS       RRN:0025963 RSN:07211 06/16/2009 </t>
  </si>
  <si>
    <t>5956411-</t>
  </si>
  <si>
    <t>2003989-</t>
  </si>
  <si>
    <t>2151-</t>
  </si>
  <si>
    <t>5954260-</t>
  </si>
  <si>
    <t>2006140-</t>
  </si>
  <si>
    <t>94604-</t>
  </si>
  <si>
    <t>Estimated FY09 Other RCA Revenues</t>
  </si>
  <si>
    <t xml:space="preserve">   Total estimated other program revenues to be collected</t>
  </si>
  <si>
    <t>FY09 Total Revenues as of 6/16/09</t>
  </si>
  <si>
    <t>FY09 Estimated revenues to be received as of 6/16/09</t>
  </si>
  <si>
    <t xml:space="preserve">  Total estimated revenues to be received as of 6/16/09</t>
  </si>
  <si>
    <t>Actuals as of 6/16/09</t>
  </si>
  <si>
    <t>Encumbrances as of 6/16/09</t>
  </si>
  <si>
    <t>Estimated expenditures as of 6/16/09</t>
  </si>
  <si>
    <t xml:space="preserve">  Total FY09 Expenditures as of 6/16/09</t>
  </si>
  <si>
    <t>Target Dates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</si>
</sst>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.000000_);_(&quot;$&quot;* \(#,##0.000000\);_(&quot;$&quot;* &quot;-&quot;??_);_(@_)"/>
    <numFmt numFmtId="167" formatCode="_(&quot;$&quot;* #,##0_);_(&quot;$&quot;* \(#,##0\);_(&quot;$&quot;* &quot;-&quot;??_);_(@_)"/>
    <numFmt numFmtId="168" formatCode="[$-F800]dddd\,\ mmmm\ dd\,\ yyyy"/>
    <numFmt numFmtId="169" formatCode="&quot;$&quot;#,##0.000000"/>
    <numFmt numFmtId="170" formatCode="m/d/yy;@"/>
    <numFmt numFmtId="171" formatCode="0.000000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_);[Red]\(0.00\)"/>
    <numFmt numFmtId="178" formatCode="[$-409]dddd\,\ mmmm\ dd\,\ yyyy"/>
    <numFmt numFmtId="179" formatCode="0.00_);\(0.00\)"/>
    <numFmt numFmtId="180" formatCode="0_);\(0\)"/>
    <numFmt numFmtId="181" formatCode="_(* #,##0.000_);_(* \(#,##0.000\);_(* &quot;-&quot;???_);_(@_)"/>
    <numFmt numFmtId="182" formatCode="#,##0.0000_);\(#,##0.0000\);\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Helv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8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0"/>
    </font>
    <font>
      <sz val="13.5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3"/>
      <name val="Arial"/>
      <family val="2"/>
    </font>
    <font>
      <i/>
      <sz val="10"/>
      <name val="Arial"/>
      <family val="2"/>
    </font>
    <font>
      <sz val="36"/>
      <name val="Arial"/>
      <family val="2"/>
    </font>
    <font>
      <vertAlign val="superscript"/>
      <sz val="8"/>
      <name val="Arial"/>
      <family val="0"/>
    </font>
    <font>
      <sz val="11"/>
      <name val="Helv"/>
      <family val="0"/>
    </font>
    <font>
      <vertAlign val="subscript"/>
      <sz val="11"/>
      <name val="Arial"/>
      <family val="2"/>
    </font>
    <font>
      <b/>
      <u val="single"/>
      <sz val="12"/>
      <color indexed="16"/>
      <name val="Arial"/>
      <family val="2"/>
    </font>
    <font>
      <b/>
      <sz val="10"/>
      <color indexed="12"/>
      <name val="Arial"/>
      <family val="2"/>
    </font>
    <font>
      <sz val="16"/>
      <name val="Arial"/>
      <family val="0"/>
    </font>
    <font>
      <b/>
      <sz val="16"/>
      <color indexed="12"/>
      <name val="Arial"/>
      <family val="0"/>
    </font>
    <font>
      <b/>
      <u val="single"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1" applyNumberFormat="0" applyAlignment="0" applyProtection="0"/>
    <xf numFmtId="0" fontId="4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7" borderId="0" applyNumberFormat="0" applyBorder="0" applyAlignment="0" applyProtection="0"/>
    <xf numFmtId="0" fontId="31" fillId="0" borderId="0">
      <alignment vertical="top"/>
      <protection/>
    </xf>
    <xf numFmtId="0" fontId="9" fillId="0" borderId="0">
      <alignment/>
      <protection/>
    </xf>
    <xf numFmtId="0" fontId="0" fillId="4" borderId="7" applyNumberFormat="0" applyFont="0" applyAlignment="0" applyProtection="0"/>
    <xf numFmtId="0" fontId="41" fillId="1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43" fontId="0" fillId="0" borderId="0" xfId="42" applyAlignment="1">
      <alignment/>
    </xf>
    <xf numFmtId="43" fontId="0" fillId="0" borderId="0" xfId="42" applyFont="1" applyAlignment="1">
      <alignment/>
    </xf>
    <xf numFmtId="43" fontId="2" fillId="0" borderId="10" xfId="42" applyFont="1" applyBorder="1" applyAlignment="1">
      <alignment/>
    </xf>
    <xf numFmtId="43" fontId="0" fillId="0" borderId="10" xfId="42" applyBorder="1" applyAlignment="1">
      <alignment/>
    </xf>
    <xf numFmtId="0" fontId="2" fillId="0" borderId="0" xfId="0" applyFont="1" applyAlignment="1">
      <alignment wrapText="1"/>
    </xf>
    <xf numFmtId="43" fontId="3" fillId="0" borderId="0" xfId="42" applyFont="1" applyAlignment="1">
      <alignment horizontal="center" wrapText="1"/>
    </xf>
    <xf numFmtId="43" fontId="2" fillId="0" borderId="0" xfId="42" applyFont="1" applyAlignment="1">
      <alignment horizontal="center"/>
    </xf>
    <xf numFmtId="43" fontId="2" fillId="0" borderId="0" xfId="42" applyFont="1" applyAlignment="1">
      <alignment/>
    </xf>
    <xf numFmtId="43" fontId="4" fillId="0" borderId="0" xfId="42" applyFont="1" applyAlignment="1">
      <alignment horizontal="center"/>
    </xf>
    <xf numFmtId="14" fontId="0" fillId="0" borderId="0" xfId="0" applyNumberFormat="1" applyAlignment="1">
      <alignment/>
    </xf>
    <xf numFmtId="43" fontId="0" fillId="0" borderId="11" xfId="42" applyBorder="1" applyAlignment="1">
      <alignment/>
    </xf>
    <xf numFmtId="9" fontId="0" fillId="0" borderId="0" xfId="61" applyAlignment="1">
      <alignment/>
    </xf>
    <xf numFmtId="0" fontId="2" fillId="0" borderId="0" xfId="0" applyFont="1" applyAlignment="1">
      <alignment/>
    </xf>
    <xf numFmtId="10" fontId="0" fillId="0" borderId="0" xfId="61" applyNumberFormat="1" applyAlignment="1">
      <alignment/>
    </xf>
    <xf numFmtId="10" fontId="2" fillId="0" borderId="11" xfId="61" applyNumberFormat="1" applyFont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58" applyFont="1" applyAlignment="1" applyProtection="1">
      <alignment horizontal="centerContinuous"/>
      <protection hidden="1"/>
    </xf>
    <xf numFmtId="0" fontId="9" fillId="0" borderId="0" xfId="58" applyAlignment="1" applyProtection="1">
      <alignment horizontal="centerContinuous"/>
      <protection hidden="1"/>
    </xf>
    <xf numFmtId="0" fontId="9" fillId="0" borderId="0" xfId="58" applyProtection="1">
      <alignment/>
      <protection hidden="1"/>
    </xf>
    <xf numFmtId="0" fontId="14" fillId="0" borderId="0" xfId="58" applyFont="1" applyAlignment="1" applyProtection="1">
      <alignment horizontal="centerContinuous"/>
      <protection hidden="1"/>
    </xf>
    <xf numFmtId="0" fontId="0" fillId="0" borderId="12" xfId="58" applyFont="1" applyBorder="1" applyAlignment="1" applyProtection="1">
      <alignment horizontal="left" vertical="top"/>
      <protection hidden="1"/>
    </xf>
    <xf numFmtId="0" fontId="0" fillId="0" borderId="13" xfId="58" applyFont="1" applyBorder="1" applyAlignment="1" applyProtection="1">
      <alignment horizontal="left" vertical="top"/>
      <protection hidden="1"/>
    </xf>
    <xf numFmtId="0" fontId="0" fillId="0" borderId="14" xfId="58" applyFont="1" applyBorder="1" applyProtection="1">
      <alignment/>
      <protection hidden="1"/>
    </xf>
    <xf numFmtId="0" fontId="15" fillId="0" borderId="12" xfId="58" applyFont="1" applyBorder="1" applyAlignment="1" applyProtection="1">
      <alignment horizontal="left" vertical="top"/>
      <protection hidden="1"/>
    </xf>
    <xf numFmtId="0" fontId="9" fillId="0" borderId="14" xfId="58" applyBorder="1" applyProtection="1">
      <alignment/>
      <protection hidden="1"/>
    </xf>
    <xf numFmtId="49" fontId="9" fillId="0" borderId="15" xfId="58" applyNumberFormat="1" applyBorder="1" applyProtection="1">
      <alignment/>
      <protection locked="0"/>
    </xf>
    <xf numFmtId="0" fontId="9" fillId="0" borderId="16" xfId="58" applyBorder="1" applyProtection="1">
      <alignment/>
      <protection locked="0"/>
    </xf>
    <xf numFmtId="0" fontId="9" fillId="0" borderId="17" xfId="58" applyBorder="1" applyProtection="1">
      <alignment/>
      <protection locked="0"/>
    </xf>
    <xf numFmtId="0" fontId="9" fillId="0" borderId="18" xfId="58" applyBorder="1" applyProtection="1">
      <alignment/>
      <protection hidden="1"/>
    </xf>
    <xf numFmtId="0" fontId="0" fillId="0" borderId="13" xfId="58" applyFont="1" applyBorder="1" applyProtection="1">
      <alignment/>
      <protection hidden="1"/>
    </xf>
    <xf numFmtId="164" fontId="9" fillId="0" borderId="15" xfId="42" applyNumberFormat="1" applyFont="1" applyBorder="1" applyAlignment="1" applyProtection="1">
      <alignment/>
      <protection hidden="1" locked="0"/>
    </xf>
    <xf numFmtId="0" fontId="9" fillId="0" borderId="16" xfId="58" applyBorder="1" applyAlignment="1" applyProtection="1">
      <alignment/>
      <protection locked="0"/>
    </xf>
    <xf numFmtId="0" fontId="9" fillId="0" borderId="19" xfId="58" applyFont="1" applyBorder="1" applyAlignment="1" applyProtection="1">
      <alignment horizontal="left" vertical="top"/>
      <protection locked="0"/>
    </xf>
    <xf numFmtId="0" fontId="9" fillId="0" borderId="0" xfId="58" applyFont="1" applyBorder="1" applyAlignment="1" applyProtection="1">
      <alignment horizontal="left" vertical="top"/>
      <protection locked="0"/>
    </xf>
    <xf numFmtId="0" fontId="9" fillId="0" borderId="0" xfId="58" applyFont="1" applyBorder="1" applyProtection="1">
      <alignment/>
      <protection locked="0"/>
    </xf>
    <xf numFmtId="0" fontId="8" fillId="0" borderId="19" xfId="58" applyFont="1" applyBorder="1" applyAlignment="1" applyProtection="1">
      <alignment horizontal="left" vertical="top"/>
      <protection hidden="1"/>
    </xf>
    <xf numFmtId="0" fontId="9" fillId="0" borderId="18" xfId="58" applyFont="1" applyBorder="1" applyProtection="1">
      <alignment/>
      <protection locked="0"/>
    </xf>
    <xf numFmtId="0" fontId="8" fillId="0" borderId="12" xfId="58" applyFont="1" applyBorder="1" applyAlignment="1" applyProtection="1">
      <alignment horizontal="left" vertical="top"/>
      <protection hidden="1"/>
    </xf>
    <xf numFmtId="0" fontId="9" fillId="0" borderId="15" xfId="58" applyFont="1" applyBorder="1" applyAlignment="1" applyProtection="1">
      <alignment horizontal="left" vertical="top"/>
      <protection locked="0"/>
    </xf>
    <xf numFmtId="0" fontId="9" fillId="0" borderId="16" xfId="58" applyFont="1" applyBorder="1" applyProtection="1">
      <alignment/>
      <protection locked="0"/>
    </xf>
    <xf numFmtId="0" fontId="9" fillId="0" borderId="16" xfId="58" applyFont="1" applyBorder="1" applyAlignment="1" applyProtection="1">
      <alignment horizontal="left" vertical="top"/>
      <protection locked="0"/>
    </xf>
    <xf numFmtId="0" fontId="9" fillId="0" borderId="17" xfId="58" applyFont="1" applyBorder="1" applyProtection="1">
      <alignment/>
      <protection locked="0"/>
    </xf>
    <xf numFmtId="0" fontId="16" fillId="0" borderId="0" xfId="58" applyFont="1" applyAlignment="1" applyProtection="1">
      <alignment horizontal="centerContinuous"/>
      <protection hidden="1"/>
    </xf>
    <xf numFmtId="0" fontId="17" fillId="0" borderId="0" xfId="58" applyFont="1" applyProtection="1">
      <alignment/>
      <protection hidden="1"/>
    </xf>
    <xf numFmtId="0" fontId="10" fillId="0" borderId="0" xfId="58" applyFont="1" applyProtection="1">
      <alignment/>
      <protection hidden="1"/>
    </xf>
    <xf numFmtId="0" fontId="18" fillId="0" borderId="0" xfId="58" applyFont="1" applyAlignment="1" applyProtection="1">
      <alignment horizontal="center"/>
      <protection hidden="1"/>
    </xf>
    <xf numFmtId="0" fontId="19" fillId="0" borderId="0" xfId="58" applyFont="1" applyProtection="1">
      <alignment/>
      <protection hidden="1"/>
    </xf>
    <xf numFmtId="0" fontId="13" fillId="0" borderId="0" xfId="58" applyFont="1" applyProtection="1">
      <alignment/>
      <protection hidden="1"/>
    </xf>
    <xf numFmtId="167" fontId="9" fillId="0" borderId="16" xfId="44" applyNumberFormat="1" applyFont="1" applyBorder="1" applyAlignment="1" applyProtection="1">
      <alignment/>
      <protection locked="0"/>
    </xf>
    <xf numFmtId="164" fontId="9" fillId="0" borderId="16" xfId="42" applyNumberFormat="1" applyFont="1" applyBorder="1" applyAlignment="1" applyProtection="1" quotePrefix="1">
      <alignment/>
      <protection locked="0"/>
    </xf>
    <xf numFmtId="164" fontId="9" fillId="0" borderId="16" xfId="42" applyNumberFormat="1" applyFont="1" applyBorder="1" applyAlignment="1" applyProtection="1">
      <alignment/>
      <protection locked="0"/>
    </xf>
    <xf numFmtId="0" fontId="9" fillId="0" borderId="0" xfId="58" applyProtection="1">
      <alignment/>
      <protection locked="0"/>
    </xf>
    <xf numFmtId="164" fontId="20" fillId="0" borderId="20" xfId="42" applyNumberFormat="1" applyFont="1" applyBorder="1" applyAlignment="1" applyProtection="1">
      <alignment/>
      <protection hidden="1"/>
    </xf>
    <xf numFmtId="42" fontId="20" fillId="0" borderId="20" xfId="44" applyNumberFormat="1" applyFont="1" applyBorder="1" applyAlignment="1" applyProtection="1">
      <alignment/>
      <protection hidden="1"/>
    </xf>
    <xf numFmtId="0" fontId="12" fillId="0" borderId="0" xfId="58" applyFont="1" applyProtection="1">
      <alignment/>
      <protection hidden="1"/>
    </xf>
    <xf numFmtId="164" fontId="9" fillId="0" borderId="0" xfId="42" applyNumberFormat="1" applyFont="1" applyAlignment="1" applyProtection="1">
      <alignment/>
      <protection hidden="1"/>
    </xf>
    <xf numFmtId="167" fontId="20" fillId="0" borderId="20" xfId="44" applyNumberFormat="1" applyFont="1" applyBorder="1" applyAlignment="1" applyProtection="1">
      <alignment/>
      <protection hidden="1"/>
    </xf>
    <xf numFmtId="165" fontId="13" fillId="0" borderId="20" xfId="58" applyNumberFormat="1" applyFont="1" applyBorder="1" applyAlignment="1" applyProtection="1" quotePrefix="1">
      <alignment horizontal="right"/>
      <protection hidden="1"/>
    </xf>
    <xf numFmtId="164" fontId="13" fillId="0" borderId="0" xfId="42" applyNumberFormat="1" applyFont="1" applyBorder="1" applyAlignment="1" applyProtection="1">
      <alignment/>
      <protection hidden="1"/>
    </xf>
    <xf numFmtId="165" fontId="13" fillId="0" borderId="0" xfId="58" applyNumberFormat="1" applyFont="1" applyBorder="1" applyAlignment="1" applyProtection="1" quotePrefix="1">
      <alignment horizontal="right"/>
      <protection hidden="1"/>
    </xf>
    <xf numFmtId="43" fontId="13" fillId="0" borderId="0" xfId="58" applyNumberFormat="1" applyFont="1" applyBorder="1" applyProtection="1">
      <alignment/>
      <protection hidden="1"/>
    </xf>
    <xf numFmtId="0" fontId="13" fillId="0" borderId="0" xfId="58" applyFont="1" applyBorder="1" applyAlignment="1" applyProtection="1" quotePrefix="1">
      <alignment horizontal="right"/>
      <protection hidden="1"/>
    </xf>
    <xf numFmtId="0" fontId="20" fillId="0" borderId="0" xfId="58" applyFont="1" applyProtection="1">
      <alignment/>
      <protection hidden="1"/>
    </xf>
    <xf numFmtId="0" fontId="16" fillId="0" borderId="0" xfId="58" applyFont="1" applyProtection="1">
      <alignment/>
      <protection hidden="1"/>
    </xf>
    <xf numFmtId="0" fontId="20" fillId="0" borderId="0" xfId="58" applyFont="1" applyBorder="1" applyProtection="1">
      <alignment/>
      <protection hidden="1"/>
    </xf>
    <xf numFmtId="0" fontId="19" fillId="0" borderId="21" xfId="58" applyFont="1" applyBorder="1" applyProtection="1">
      <alignment/>
      <protection hidden="1"/>
    </xf>
    <xf numFmtId="0" fontId="8" fillId="0" borderId="0" xfId="58" applyFont="1" applyAlignment="1" applyProtection="1">
      <alignment horizontal="right"/>
      <protection hidden="1"/>
    </xf>
    <xf numFmtId="0" fontId="9" fillId="0" borderId="0" xfId="58" applyAlignment="1" applyProtection="1">
      <alignment/>
      <protection hidden="1"/>
    </xf>
    <xf numFmtId="0" fontId="9" fillId="0" borderId="0" xfId="58" applyAlignment="1" applyProtection="1">
      <alignment horizontal="center"/>
      <protection hidden="1"/>
    </xf>
    <xf numFmtId="0" fontId="9" fillId="0" borderId="0" xfId="58" applyBorder="1" applyProtection="1">
      <alignment/>
      <protection hidden="1"/>
    </xf>
    <xf numFmtId="0" fontId="9" fillId="0" borderId="10" xfId="58" applyBorder="1" applyProtection="1">
      <alignment/>
      <protection locked="0"/>
    </xf>
    <xf numFmtId="0" fontId="21" fillId="0" borderId="0" xfId="58" applyFont="1" applyProtection="1">
      <alignment/>
      <protection hidden="1"/>
    </xf>
    <xf numFmtId="0" fontId="9" fillId="0" borderId="12" xfId="58" applyBorder="1" applyProtection="1">
      <alignment/>
      <protection hidden="1"/>
    </xf>
    <xf numFmtId="0" fontId="9" fillId="0" borderId="13" xfId="58" applyBorder="1" applyProtection="1">
      <alignment/>
      <protection hidden="1"/>
    </xf>
    <xf numFmtId="0" fontId="9" fillId="0" borderId="15" xfId="58" applyBorder="1" applyProtection="1">
      <alignment/>
      <protection hidden="1"/>
    </xf>
    <xf numFmtId="0" fontId="9" fillId="0" borderId="16" xfId="58" applyBorder="1" applyProtection="1">
      <alignment/>
      <protection hidden="1"/>
    </xf>
    <xf numFmtId="0" fontId="9" fillId="0" borderId="15" xfId="58" applyBorder="1" applyProtection="1">
      <alignment/>
      <protection locked="0"/>
    </xf>
    <xf numFmtId="166" fontId="13" fillId="0" borderId="20" xfId="44" applyNumberFormat="1" applyFont="1" applyBorder="1" applyAlignment="1" applyProtection="1" quotePrefix="1">
      <alignment horizontal="right"/>
      <protection hidden="1"/>
    </xf>
    <xf numFmtId="43" fontId="0" fillId="0" borderId="0" xfId="42" applyFont="1" applyAlignment="1">
      <alignment/>
    </xf>
    <xf numFmtId="9" fontId="0" fillId="0" borderId="0" xfId="42" applyNumberForma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2" fillId="0" borderId="0" xfId="0" applyFont="1" applyAlignment="1">
      <alignment horizontal="center"/>
    </xf>
    <xf numFmtId="0" fontId="10" fillId="0" borderId="0" xfId="0" applyFont="1" applyAlignment="1">
      <alignment/>
    </xf>
    <xf numFmtId="14" fontId="9" fillId="0" borderId="0" xfId="0" applyNumberFormat="1" applyFont="1" applyFill="1" applyAlignment="1">
      <alignment horizontal="center" vertical="top"/>
    </xf>
    <xf numFmtId="43" fontId="0" fillId="0" borderId="0" xfId="42" applyNumberFormat="1" applyAlignment="1">
      <alignment/>
    </xf>
    <xf numFmtId="43" fontId="0" fillId="0" borderId="11" xfId="42" applyNumberFormat="1" applyBorder="1" applyAlignment="1">
      <alignment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0" fontId="8" fillId="0" borderId="0" xfId="61" applyNumberFormat="1" applyFont="1" applyAlignment="1">
      <alignment/>
    </xf>
    <xf numFmtId="0" fontId="23" fillId="0" borderId="0" xfId="0" applyFont="1" applyAlignment="1">
      <alignment horizontal="left"/>
    </xf>
    <xf numFmtId="10" fontId="8" fillId="0" borderId="0" xfId="61" applyNumberFormat="1" applyFont="1" applyFill="1" applyAlignment="1">
      <alignment/>
    </xf>
    <xf numFmtId="37" fontId="7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0" xfId="0" applyNumberFormat="1" applyFont="1" applyAlignment="1">
      <alignment/>
    </xf>
    <xf numFmtId="164" fontId="10" fillId="0" borderId="16" xfId="0" applyNumberFormat="1" applyFont="1" applyBorder="1" applyAlignment="1">
      <alignment/>
    </xf>
    <xf numFmtId="164" fontId="10" fillId="0" borderId="16" xfId="42" applyNumberFormat="1" applyFont="1" applyBorder="1" applyAlignment="1">
      <alignment/>
    </xf>
    <xf numFmtId="43" fontId="10" fillId="0" borderId="0" xfId="42" applyFont="1" applyAlignment="1">
      <alignment/>
    </xf>
    <xf numFmtId="164" fontId="10" fillId="0" borderId="0" xfId="0" applyNumberFormat="1" applyFont="1" applyAlignment="1">
      <alignment/>
    </xf>
    <xf numFmtId="10" fontId="10" fillId="0" borderId="0" xfId="0" applyNumberFormat="1" applyFont="1" applyFill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42" applyNumberFormat="1" applyFont="1" applyBorder="1" applyAlignment="1">
      <alignment/>
    </xf>
    <xf numFmtId="164" fontId="10" fillId="0" borderId="0" xfId="42" applyNumberFormat="1" applyFont="1" applyAlignment="1">
      <alignment/>
    </xf>
    <xf numFmtId="10" fontId="10" fillId="0" borderId="0" xfId="0" applyNumberFormat="1" applyFont="1" applyAlignment="1">
      <alignment/>
    </xf>
    <xf numFmtId="10" fontId="10" fillId="0" borderId="0" xfId="61" applyNumberFormat="1" applyFont="1" applyAlignment="1">
      <alignment/>
    </xf>
    <xf numFmtId="9" fontId="10" fillId="0" borderId="0" xfId="61" applyFont="1" applyAlignment="1">
      <alignment/>
    </xf>
    <xf numFmtId="164" fontId="10" fillId="0" borderId="0" xfId="0" applyNumberFormat="1" applyFont="1" applyFill="1" applyAlignment="1">
      <alignment/>
    </xf>
    <xf numFmtId="10" fontId="10" fillId="0" borderId="0" xfId="61" applyNumberFormat="1" applyFont="1" applyFill="1" applyAlignment="1">
      <alignment/>
    </xf>
    <xf numFmtId="0" fontId="10" fillId="0" borderId="0" xfId="0" applyFont="1" applyAlignment="1">
      <alignment horizontal="left"/>
    </xf>
    <xf numFmtId="164" fontId="10" fillId="0" borderId="21" xfId="0" applyNumberFormat="1" applyFont="1" applyBorder="1" applyAlignment="1">
      <alignment/>
    </xf>
    <xf numFmtId="14" fontId="0" fillId="0" borderId="0" xfId="0" applyNumberFormat="1" applyAlignment="1">
      <alignment horizontal="right"/>
    </xf>
    <xf numFmtId="43" fontId="0" fillId="0" borderId="0" xfId="42" applyFont="1" applyAlignment="1" applyProtection="1">
      <alignment/>
      <protection hidden="1"/>
    </xf>
    <xf numFmtId="0" fontId="10" fillId="18" borderId="0" xfId="0" applyFont="1" applyFill="1" applyAlignment="1">
      <alignment/>
    </xf>
    <xf numFmtId="164" fontId="10" fillId="0" borderId="16" xfId="0" applyNumberFormat="1" applyFont="1" applyFill="1" applyBorder="1" applyAlignment="1">
      <alignment/>
    </xf>
    <xf numFmtId="165" fontId="10" fillId="0" borderId="0" xfId="61" applyNumberFormat="1" applyFont="1" applyAlignment="1">
      <alignment/>
    </xf>
    <xf numFmtId="0" fontId="0" fillId="0" borderId="15" xfId="58" applyFont="1" applyBorder="1" applyAlignment="1" applyProtection="1">
      <alignment horizontal="left" vertical="top"/>
      <protection locked="0"/>
    </xf>
    <xf numFmtId="41" fontId="10" fillId="0" borderId="0" xfId="0" applyNumberFormat="1" applyFont="1" applyAlignment="1">
      <alignment/>
    </xf>
    <xf numFmtId="0" fontId="10" fillId="0" borderId="0" xfId="0" applyFont="1" applyAlignment="1">
      <alignment horizontal="left" indent="1"/>
    </xf>
    <xf numFmtId="164" fontId="10" fillId="0" borderId="0" xfId="0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left" indent="3"/>
    </xf>
    <xf numFmtId="164" fontId="0" fillId="0" borderId="16" xfId="0" applyNumberFormat="1" applyBorder="1" applyAlignment="1">
      <alignment/>
    </xf>
    <xf numFmtId="0" fontId="9" fillId="0" borderId="19" xfId="58" applyFont="1" applyBorder="1" applyAlignment="1" applyProtection="1">
      <alignment horizontal="left"/>
      <protection hidden="1"/>
    </xf>
    <xf numFmtId="0" fontId="9" fillId="0" borderId="18" xfId="58" applyFont="1" applyBorder="1" applyAlignment="1" applyProtection="1">
      <alignment horizontal="left"/>
      <protection hidden="1"/>
    </xf>
    <xf numFmtId="0" fontId="0" fillId="0" borderId="0" xfId="0" applyFont="1" applyFill="1" applyAlignment="1">
      <alignment horizontal="center"/>
    </xf>
    <xf numFmtId="165" fontId="9" fillId="0" borderId="0" xfId="0" applyNumberFormat="1" applyFont="1" applyAlignment="1">
      <alignment horizontal="right"/>
    </xf>
    <xf numFmtId="169" fontId="9" fillId="0" borderId="0" xfId="44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ill="1" applyAlignment="1">
      <alignment horizontal="center"/>
    </xf>
    <xf numFmtId="0" fontId="27" fillId="0" borderId="0" xfId="0" applyFont="1" applyFill="1" applyAlignment="1">
      <alignment horizontal="right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0" xfId="0" applyAlignment="1">
      <alignment/>
    </xf>
    <xf numFmtId="164" fontId="9" fillId="0" borderId="0" xfId="42" applyNumberFormat="1" applyFont="1" applyAlignment="1">
      <alignment/>
    </xf>
    <xf numFmtId="0" fontId="10" fillId="0" borderId="0" xfId="0" applyFont="1" applyAlignment="1">
      <alignment horizontal="left"/>
    </xf>
    <xf numFmtId="10" fontId="0" fillId="0" borderId="16" xfId="61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10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0" fontId="27" fillId="7" borderId="0" xfId="0" applyFont="1" applyFill="1" applyAlignment="1">
      <alignment horizontal="right"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170" fontId="0" fillId="14" borderId="0" xfId="0" applyNumberFormat="1" applyFill="1" applyAlignment="1">
      <alignment horizontal="center"/>
    </xf>
    <xf numFmtId="0" fontId="0" fillId="14" borderId="0" xfId="0" applyFill="1" applyAlignment="1">
      <alignment/>
    </xf>
    <xf numFmtId="0" fontId="27" fillId="14" borderId="0" xfId="0" applyFont="1" applyFill="1" applyAlignment="1">
      <alignment horizontal="right"/>
    </xf>
    <xf numFmtId="170" fontId="28" fillId="19" borderId="0" xfId="0" applyNumberFormat="1" applyFont="1" applyFill="1" applyAlignment="1">
      <alignment horizontal="center"/>
    </xf>
    <xf numFmtId="0" fontId="28" fillId="19" borderId="0" xfId="0" applyFont="1" applyFill="1" applyAlignment="1">
      <alignment/>
    </xf>
    <xf numFmtId="0" fontId="29" fillId="19" borderId="0" xfId="0" applyFont="1" applyFill="1" applyAlignment="1">
      <alignment horizontal="center"/>
    </xf>
    <xf numFmtId="170" fontId="0" fillId="19" borderId="0" xfId="0" applyNumberFormat="1" applyFill="1" applyAlignment="1">
      <alignment horizontal="center"/>
    </xf>
    <xf numFmtId="0" fontId="0" fillId="19" borderId="0" xfId="0" applyFill="1" applyAlignment="1">
      <alignment/>
    </xf>
    <xf numFmtId="0" fontId="29" fillId="19" borderId="0" xfId="0" applyFont="1" applyFill="1" applyAlignment="1">
      <alignment horizontal="center"/>
    </xf>
    <xf numFmtId="44" fontId="0" fillId="0" borderId="0" xfId="0" applyNumberFormat="1" applyFill="1" applyAlignment="1">
      <alignment/>
    </xf>
    <xf numFmtId="0" fontId="9" fillId="0" borderId="0" xfId="58" applyFont="1" applyProtection="1">
      <alignment/>
      <protection hidden="1"/>
    </xf>
    <xf numFmtId="0" fontId="19" fillId="0" borderId="0" xfId="58" applyFont="1" applyProtection="1">
      <alignment/>
      <protection hidden="1"/>
    </xf>
    <xf numFmtId="0" fontId="30" fillId="0" borderId="0" xfId="58" applyFont="1" applyProtection="1">
      <alignment/>
      <protection hidden="1"/>
    </xf>
    <xf numFmtId="164" fontId="9" fillId="0" borderId="13" xfId="42" applyNumberFormat="1" applyFont="1" applyBorder="1" applyAlignment="1" applyProtection="1">
      <alignment/>
      <protection locked="0"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42" applyBorder="1" applyAlignment="1">
      <alignment/>
    </xf>
    <xf numFmtId="10" fontId="0" fillId="0" borderId="0" xfId="61" applyNumberFormat="1" applyBorder="1" applyAlignment="1">
      <alignment/>
    </xf>
    <xf numFmtId="43" fontId="0" fillId="0" borderId="13" xfId="42" applyBorder="1" applyAlignment="1">
      <alignment/>
    </xf>
    <xf numFmtId="3" fontId="10" fillId="0" borderId="0" xfId="0" applyNumberFormat="1" applyFont="1" applyAlignment="1">
      <alignment/>
    </xf>
    <xf numFmtId="0" fontId="9" fillId="0" borderId="20" xfId="0" applyFont="1" applyBorder="1" applyAlignment="1">
      <alignment vertical="top"/>
    </xf>
    <xf numFmtId="14" fontId="9" fillId="0" borderId="20" xfId="0" applyNumberFormat="1" applyFont="1" applyFill="1" applyBorder="1" applyAlignment="1">
      <alignment horizontal="center" vertical="top"/>
    </xf>
    <xf numFmtId="164" fontId="0" fillId="0" borderId="20" xfId="42" applyNumberFormat="1" applyFont="1" applyBorder="1" applyAlignment="1">
      <alignment/>
    </xf>
    <xf numFmtId="0" fontId="9" fillId="0" borderId="20" xfId="0" applyFont="1" applyBorder="1" applyAlignment="1">
      <alignment vertical="top" wrapText="1"/>
    </xf>
    <xf numFmtId="168" fontId="9" fillId="19" borderId="20" xfId="0" applyNumberFormat="1" applyFont="1" applyFill="1" applyBorder="1" applyAlignment="1">
      <alignment horizontal="right" vertical="top"/>
    </xf>
    <xf numFmtId="0" fontId="31" fillId="0" borderId="0" xfId="57" applyFont="1">
      <alignment vertical="top"/>
      <protection/>
    </xf>
    <xf numFmtId="43" fontId="0" fillId="0" borderId="0" xfId="42" applyFont="1" applyFill="1" applyAlignment="1" applyProtection="1">
      <alignment/>
      <protection hidden="1"/>
    </xf>
    <xf numFmtId="43" fontId="0" fillId="0" borderId="0" xfId="0" applyNumberFormat="1" applyFill="1" applyAlignment="1">
      <alignment/>
    </xf>
    <xf numFmtId="43" fontId="2" fillId="0" borderId="0" xfId="42" applyFont="1" applyFill="1" applyAlignment="1">
      <alignment horizontal="center"/>
    </xf>
    <xf numFmtId="43" fontId="4" fillId="0" borderId="0" xfId="42" applyFont="1" applyFill="1" applyAlignment="1">
      <alignment horizontal="center"/>
    </xf>
    <xf numFmtId="43" fontId="0" fillId="0" borderId="0" xfId="42" applyFill="1" applyAlignment="1">
      <alignment/>
    </xf>
    <xf numFmtId="0" fontId="10" fillId="0" borderId="0" xfId="0" applyFont="1" applyBorder="1" applyAlignment="1">
      <alignment/>
    </xf>
    <xf numFmtId="171" fontId="10" fillId="0" borderId="0" xfId="42" applyNumberFormat="1" applyFont="1" applyAlignment="1">
      <alignment/>
    </xf>
    <xf numFmtId="43" fontId="4" fillId="0" borderId="0" xfId="42" applyFont="1" applyFill="1" applyAlignment="1">
      <alignment horizontal="center" wrapText="1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/>
    </xf>
    <xf numFmtId="0" fontId="19" fillId="14" borderId="0" xfId="0" applyFont="1" applyFill="1" applyAlignment="1">
      <alignment horizontal="right"/>
    </xf>
    <xf numFmtId="44" fontId="0" fillId="0" borderId="0" xfId="0" applyNumberFormat="1" applyAlignment="1">
      <alignment/>
    </xf>
    <xf numFmtId="0" fontId="55" fillId="0" borderId="0" xfId="58" applyFont="1" applyAlignment="1" applyProtection="1">
      <alignment/>
      <protection hidden="1"/>
    </xf>
    <xf numFmtId="0" fontId="55" fillId="0" borderId="0" xfId="58" applyFont="1" applyProtection="1">
      <alignment/>
      <protection hidden="1"/>
    </xf>
    <xf numFmtId="170" fontId="26" fillId="0" borderId="0" xfId="0" applyNumberFormat="1" applyFont="1" applyAlignment="1">
      <alignment horizontal="left"/>
    </xf>
    <xf numFmtId="4" fontId="0" fillId="0" borderId="0" xfId="0" applyNumberFormat="1" applyAlignment="1" applyProtection="1">
      <alignment horizontal="right"/>
      <protection hidden="1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 applyProtection="1">
      <alignment horizontal="right"/>
      <protection hidden="1"/>
    </xf>
    <xf numFmtId="4" fontId="0" fillId="0" borderId="22" xfId="0" applyNumberFormat="1" applyFont="1" applyBorder="1" applyAlignment="1">
      <alignment horizontal="right"/>
    </xf>
    <xf numFmtId="0" fontId="0" fillId="7" borderId="0" xfId="0" applyFill="1" applyAlignment="1">
      <alignment/>
    </xf>
    <xf numFmtId="4" fontId="0" fillId="7" borderId="0" xfId="0" applyNumberFormat="1" applyFill="1" applyAlignment="1" applyProtection="1">
      <alignment horizontal="right"/>
      <protection hidden="1"/>
    </xf>
    <xf numFmtId="170" fontId="9" fillId="14" borderId="0" xfId="0" applyNumberFormat="1" applyFont="1" applyFill="1" applyAlignment="1">
      <alignment horizontal="center"/>
    </xf>
    <xf numFmtId="0" fontId="9" fillId="14" borderId="0" xfId="0" applyFont="1" applyFill="1" applyAlignment="1">
      <alignment/>
    </xf>
    <xf numFmtId="0" fontId="56" fillId="14" borderId="0" xfId="0" applyFont="1" applyFill="1" applyAlignment="1">
      <alignment horizontal="right"/>
    </xf>
    <xf numFmtId="4" fontId="56" fillId="14" borderId="23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4" fontId="0" fillId="0" borderId="0" xfId="0" applyNumberFormat="1" applyAlignment="1">
      <alignment horizontal="right"/>
    </xf>
    <xf numFmtId="170" fontId="26" fillId="0" borderId="0" xfId="0" applyNumberFormat="1" applyFont="1" applyAlignment="1">
      <alignment horizontal="right"/>
    </xf>
    <xf numFmtId="4" fontId="27" fillId="7" borderId="24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4" fontId="27" fillId="0" borderId="25" xfId="0" applyNumberFormat="1" applyFont="1" applyFill="1" applyBorder="1" applyAlignment="1">
      <alignment horizontal="right"/>
    </xf>
    <xf numFmtId="44" fontId="19" fillId="14" borderId="23" xfId="44" applyFont="1" applyFill="1" applyBorder="1" applyAlignment="1" applyProtection="1">
      <alignment horizontal="right"/>
      <protection hidden="1"/>
    </xf>
    <xf numFmtId="4" fontId="27" fillId="0" borderId="0" xfId="0" applyNumberFormat="1" applyFont="1" applyFill="1" applyAlignment="1" applyProtection="1">
      <alignment horizontal="right"/>
      <protection hidden="1"/>
    </xf>
    <xf numFmtId="4" fontId="27" fillId="14" borderId="23" xfId="0" applyNumberFormat="1" applyFont="1" applyFill="1" applyBorder="1" applyAlignment="1" applyProtection="1">
      <alignment horizontal="right"/>
      <protection hidden="1"/>
    </xf>
    <xf numFmtId="44" fontId="27" fillId="0" borderId="0" xfId="44" applyFont="1" applyAlignment="1" applyProtection="1">
      <alignment horizontal="right"/>
      <protection hidden="1"/>
    </xf>
    <xf numFmtId="44" fontId="29" fillId="19" borderId="0" xfId="0" applyNumberFormat="1" applyFont="1" applyFill="1" applyAlignment="1">
      <alignment horizontal="right"/>
    </xf>
    <xf numFmtId="4" fontId="29" fillId="19" borderId="23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10" fillId="0" borderId="0" xfId="42" applyNumberFormat="1" applyFont="1" applyFill="1" applyAlignment="1">
      <alignment/>
    </xf>
    <xf numFmtId="43" fontId="10" fillId="0" borderId="0" xfId="42" applyFont="1" applyFill="1" applyAlignment="1">
      <alignment/>
    </xf>
    <xf numFmtId="164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9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164" fontId="10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42" applyNumberFormat="1" applyFont="1" applyAlignment="1">
      <alignment/>
    </xf>
    <xf numFmtId="164" fontId="10" fillId="0" borderId="25" xfId="42" applyNumberFormat="1" applyFont="1" applyBorder="1" applyAlignment="1">
      <alignment/>
    </xf>
    <xf numFmtId="164" fontId="10" fillId="0" borderId="25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4" fontId="10" fillId="0" borderId="0" xfId="42" applyNumberFormat="1" applyFont="1" applyBorder="1" applyAlignment="1">
      <alignment/>
    </xf>
    <xf numFmtId="164" fontId="10" fillId="0" borderId="26" xfId="42" applyNumberFormat="1" applyFont="1" applyBorder="1" applyAlignment="1">
      <alignment/>
    </xf>
    <xf numFmtId="164" fontId="10" fillId="0" borderId="27" xfId="42" applyNumberFormat="1" applyFont="1" applyBorder="1" applyAlignment="1">
      <alignment/>
    </xf>
    <xf numFmtId="3" fontId="10" fillId="0" borderId="22" xfId="42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27" fillId="7" borderId="24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2" xfId="0" applyNumberFormat="1" applyBorder="1" applyAlignment="1">
      <alignment horizontal="right"/>
    </xf>
    <xf numFmtId="37" fontId="0" fillId="0" borderId="22" xfId="0" applyNumberFormat="1" applyBorder="1" applyAlignment="1">
      <alignment horizontal="right"/>
    </xf>
    <xf numFmtId="37" fontId="7" fillId="0" borderId="0" xfId="0" applyNumberFormat="1" applyFont="1" applyFill="1" applyBorder="1" applyAlignment="1" applyProtection="1">
      <alignment/>
      <protection/>
    </xf>
    <xf numFmtId="43" fontId="1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4" fontId="59" fillId="0" borderId="0" xfId="0" applyNumberFormat="1" applyFont="1" applyAlignment="1" applyProtection="1">
      <alignment/>
      <protection/>
    </xf>
    <xf numFmtId="164" fontId="59" fillId="19" borderId="0" xfId="0" applyNumberFormat="1" applyFont="1" applyFill="1" applyAlignment="1" applyProtection="1">
      <alignment/>
      <protection/>
    </xf>
    <xf numFmtId="37" fontId="59" fillId="0" borderId="0" xfId="0" applyNumberFormat="1" applyFont="1" applyAlignment="1" applyProtection="1">
      <alignment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182" fontId="61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182" fontId="61" fillId="0" borderId="0" xfId="0" applyNumberFormat="1" applyFont="1" applyBorder="1" applyAlignment="1">
      <alignment/>
    </xf>
    <xf numFmtId="0" fontId="60" fillId="0" borderId="28" xfId="0" applyFont="1" applyBorder="1" applyAlignment="1">
      <alignment/>
    </xf>
    <xf numFmtId="3" fontId="60" fillId="0" borderId="28" xfId="0" applyNumberFormat="1" applyFont="1" applyBorder="1" applyAlignment="1">
      <alignment/>
    </xf>
    <xf numFmtId="4" fontId="60" fillId="0" borderId="28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4" fontId="0" fillId="0" borderId="0" xfId="0" applyNumberFormat="1" applyAlignment="1">
      <alignment/>
    </xf>
    <xf numFmtId="164" fontId="9" fillId="0" borderId="0" xfId="42" applyNumberFormat="1" applyFont="1" applyBorder="1" applyAlignment="1" applyProtection="1">
      <alignment/>
      <protection locked="0"/>
    </xf>
    <xf numFmtId="37" fontId="0" fillId="0" borderId="29" xfId="0" applyNumberFormat="1" applyBorder="1" applyAlignment="1">
      <alignment horizontal="right"/>
    </xf>
    <xf numFmtId="37" fontId="0" fillId="0" borderId="2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18" fillId="0" borderId="16" xfId="0" applyFont="1" applyBorder="1" applyAlignment="1">
      <alignment horizontal="center"/>
    </xf>
    <xf numFmtId="3" fontId="32" fillId="0" borderId="30" xfId="0" applyNumberFormat="1" applyFont="1" applyFill="1" applyBorder="1" applyAlignment="1">
      <alignment horizontal="right"/>
    </xf>
    <xf numFmtId="3" fontId="32" fillId="0" borderId="31" xfId="0" applyNumberFormat="1" applyFont="1" applyFill="1" applyBorder="1" applyAlignment="1">
      <alignment horizontal="right"/>
    </xf>
    <xf numFmtId="3" fontId="32" fillId="0" borderId="28" xfId="0" applyNumberFormat="1" applyFont="1" applyFill="1" applyBorder="1" applyAlignment="1">
      <alignment horizontal="right"/>
    </xf>
    <xf numFmtId="0" fontId="9" fillId="0" borderId="19" xfId="58" applyFont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9" fillId="0" borderId="15" xfId="58" applyFont="1" applyBorder="1" applyAlignment="1" applyProtection="1">
      <alignment horizontal="center"/>
      <protection hidden="1"/>
    </xf>
    <xf numFmtId="0" fontId="9" fillId="0" borderId="17" xfId="58" applyBorder="1" applyAlignment="1">
      <alignment horizontal="center"/>
      <protection/>
    </xf>
    <xf numFmtId="0" fontId="9" fillId="0" borderId="18" xfId="58" applyBorder="1" applyAlignment="1">
      <alignment horizontal="center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P Summary" xfId="57"/>
    <cellStyle name="Normal_rcc quarterly form 20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4725"/>
          <c:w val="0.7077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Graph!$A$27</c:f>
              <c:strCache>
                <c:ptCount val="1"/>
                <c:pt idx="0">
                  <c:v>Electric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Graph!$B$27:$J$27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Graph!$A$28</c:f>
              <c:strCache>
                <c:ptCount val="1"/>
                <c:pt idx="0">
                  <c:v>Gas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Graph!$B$28:$J$28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Graph!$A$30</c:f>
              <c:strCache>
                <c:ptCount val="1"/>
                <c:pt idx="0">
                  <c:v>Refuse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Graph!$B$30:$J$30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Graph!$A$29</c:f>
              <c:strCache>
                <c:ptCount val="1"/>
                <c:pt idx="0">
                  <c:v>Water &amp; Wastewater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Graph!$B$29:$J$29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Graph!$A$31</c:f>
              <c:strCache>
                <c:ptCount val="1"/>
                <c:pt idx="0">
                  <c:v>Local Exchange Telephone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Graph!$B$31:$J$31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Graph!$A$32</c:f>
              <c:strCache>
                <c:ptCount val="1"/>
                <c:pt idx="0">
                  <c:v>Interexchange Telephone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Graph!$B$32:$J$32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Graph!$A$33</c:f>
              <c:strCache>
                <c:ptCount val="1"/>
                <c:pt idx="0">
                  <c:v>Cable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Graph!$B$33:$J$33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Graph!$A$34</c:f>
              <c:strCache>
                <c:ptCount val="1"/>
                <c:pt idx="0">
                  <c:v>Pipeline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Graph!$B$34:$J$34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Graph!$A$35</c:f>
              <c:strCache>
                <c:ptCount val="1"/>
                <c:pt idx="0">
                  <c:v>Steam Heat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Graph!$B$26:$J$26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Graph!$B$35:$J$35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0718225"/>
        <c:axId val="53810842"/>
      </c:lineChart>
      <c:catAx>
        <c:axId val="50718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0842"/>
        <c:crosses val="autoZero"/>
        <c:auto val="1"/>
        <c:lblOffset val="100"/>
        <c:tickLblSkip val="1"/>
        <c:noMultiLvlLbl val="0"/>
      </c:catAx>
      <c:valAx>
        <c:axId val="53810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Revenues Subject to RCC</a:t>
                </a:r>
              </a:p>
            </c:rich>
          </c:tx>
          <c:layout>
            <c:manualLayout>
              <c:xMode val="factor"/>
              <c:yMode val="factor"/>
              <c:x val="0.001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8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18125"/>
          <c:w val="0.225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11</xdr:col>
      <xdr:colOff>590550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7625" y="57150"/>
        <a:ext cx="98393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3</xdr:row>
      <xdr:rowOff>57150</xdr:rowOff>
    </xdr:from>
    <xdr:to>
      <xdr:col>6</xdr:col>
      <xdr:colOff>1285875</xdr:colOff>
      <xdr:row>5</xdr:row>
      <xdr:rowOff>104775</xdr:rowOff>
    </xdr:to>
    <xdr:sp>
      <xdr:nvSpPr>
        <xdr:cNvPr id="1" name="Text 18"/>
        <xdr:cNvSpPr txBox="1">
          <a:spLocks noChangeArrowheads="1"/>
        </xdr:cNvSpPr>
      </xdr:nvSpPr>
      <xdr:spPr>
        <a:xfrm>
          <a:off x="6276975" y="657225"/>
          <a:ext cx="2000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Department Use Only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FSN</a:t>
          </a:r>
        </a:p>
      </xdr:txBody>
    </xdr:sp>
    <xdr:clientData/>
  </xdr:twoCellAnchor>
  <xdr:oneCellAnchor>
    <xdr:from>
      <xdr:col>5</xdr:col>
      <xdr:colOff>66675</xdr:colOff>
      <xdr:row>133</xdr:row>
      <xdr:rowOff>0</xdr:rowOff>
    </xdr:from>
    <xdr:ext cx="95250" cy="228600"/>
    <xdr:sp>
      <xdr:nvSpPr>
        <xdr:cNvPr id="2" name="Text 35"/>
        <xdr:cNvSpPr txBox="1">
          <a:spLocks noChangeArrowheads="1"/>
        </xdr:cNvSpPr>
      </xdr:nvSpPr>
      <xdr:spPr>
        <a:xfrm>
          <a:off x="5753100" y="23526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WHEE~1\LOCALS~1\Temp\Master%20forms\cp%20data%204-21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8\CC_TM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9\CommCarr_TM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8\Engineering_TM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9\Engineering_TM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8\Tariffs_TM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9\Tariff_T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8\Finance_TM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e_Mgmt\2009\Finance_TM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gnes"/>
      <sheetName val="Grace"/>
      <sheetName val="Rose"/>
      <sheetName val="Steve"/>
      <sheetName val="Tammy"/>
      <sheetName val="sum telecomm"/>
      <sheetName val="sum watersewer"/>
    </sheetNames>
    <sheetDataSet>
      <sheetData sheetId="0">
        <row r="9">
          <cell r="B9">
            <v>0</v>
          </cell>
          <cell r="C9">
            <v>0</v>
          </cell>
          <cell r="D9">
            <v>33.5</v>
          </cell>
          <cell r="E9">
            <v>3</v>
          </cell>
          <cell r="F9">
            <v>2</v>
          </cell>
          <cell r="I9">
            <v>25</v>
          </cell>
          <cell r="J9">
            <v>14.25</v>
          </cell>
          <cell r="L9">
            <v>0</v>
          </cell>
          <cell r="M9">
            <v>0</v>
          </cell>
          <cell r="N9">
            <v>11.5</v>
          </cell>
          <cell r="Y9">
            <v>0</v>
          </cell>
          <cell r="Z9">
            <v>330</v>
          </cell>
        </row>
        <row r="10">
          <cell r="B10">
            <v>0</v>
          </cell>
          <cell r="C10">
            <v>0</v>
          </cell>
          <cell r="D10">
            <v>60</v>
          </cell>
          <cell r="E10">
            <v>11.25</v>
          </cell>
          <cell r="F10">
            <v>24.25</v>
          </cell>
          <cell r="I10">
            <v>29</v>
          </cell>
          <cell r="J10">
            <v>5.5</v>
          </cell>
          <cell r="L10">
            <v>0</v>
          </cell>
          <cell r="M10">
            <v>0</v>
          </cell>
          <cell r="N10">
            <v>4</v>
          </cell>
          <cell r="Y10">
            <v>0</v>
          </cell>
          <cell r="Z10">
            <v>330</v>
          </cell>
        </row>
        <row r="11">
          <cell r="B11">
            <v>0</v>
          </cell>
          <cell r="C11">
            <v>0</v>
          </cell>
          <cell r="D11">
            <v>36.25</v>
          </cell>
          <cell r="E11">
            <v>17.5</v>
          </cell>
          <cell r="F11">
            <v>0</v>
          </cell>
          <cell r="I11">
            <v>17.25</v>
          </cell>
          <cell r="J11">
            <v>9</v>
          </cell>
          <cell r="L11">
            <v>0</v>
          </cell>
          <cell r="M11">
            <v>0</v>
          </cell>
          <cell r="N11">
            <v>2.5</v>
          </cell>
          <cell r="Y11">
            <v>0</v>
          </cell>
          <cell r="Z11">
            <v>300</v>
          </cell>
        </row>
        <row r="12">
          <cell r="B12">
            <v>0</v>
          </cell>
          <cell r="C12">
            <v>0</v>
          </cell>
          <cell r="D12">
            <v>12.5</v>
          </cell>
          <cell r="E12">
            <v>3.5</v>
          </cell>
          <cell r="F12">
            <v>3</v>
          </cell>
          <cell r="I12">
            <v>32.75</v>
          </cell>
          <cell r="J12">
            <v>21.75</v>
          </cell>
          <cell r="L12">
            <v>0</v>
          </cell>
          <cell r="M12">
            <v>0</v>
          </cell>
          <cell r="N12">
            <v>0</v>
          </cell>
          <cell r="Y12">
            <v>0</v>
          </cell>
          <cell r="Z12">
            <v>330</v>
          </cell>
        </row>
        <row r="13">
          <cell r="B13">
            <v>0</v>
          </cell>
          <cell r="C13">
            <v>0</v>
          </cell>
          <cell r="D13">
            <v>52.5</v>
          </cell>
          <cell r="E13">
            <v>4.5</v>
          </cell>
          <cell r="F13">
            <v>1.5</v>
          </cell>
          <cell r="I13">
            <v>10.75</v>
          </cell>
          <cell r="J13">
            <v>3.25</v>
          </cell>
          <cell r="L13">
            <v>0</v>
          </cell>
          <cell r="M13">
            <v>0</v>
          </cell>
          <cell r="N13">
            <v>1</v>
          </cell>
          <cell r="Y13">
            <v>0</v>
          </cell>
          <cell r="Z13">
            <v>247.5</v>
          </cell>
        </row>
        <row r="14">
          <cell r="B14">
            <v>0</v>
          </cell>
          <cell r="C14">
            <v>0</v>
          </cell>
          <cell r="D14">
            <v>50</v>
          </cell>
          <cell r="E14">
            <v>4.5</v>
          </cell>
          <cell r="F14">
            <v>0</v>
          </cell>
          <cell r="I14">
            <v>7.5</v>
          </cell>
          <cell r="J14">
            <v>18</v>
          </cell>
          <cell r="L14">
            <v>0</v>
          </cell>
          <cell r="M14">
            <v>0</v>
          </cell>
          <cell r="N14">
            <v>0</v>
          </cell>
          <cell r="Y14">
            <v>0</v>
          </cell>
          <cell r="Z14">
            <v>270</v>
          </cell>
        </row>
        <row r="15">
          <cell r="B15">
            <v>0</v>
          </cell>
          <cell r="C15">
            <v>0</v>
          </cell>
          <cell r="D15">
            <v>8.75</v>
          </cell>
          <cell r="E15">
            <v>2.5</v>
          </cell>
          <cell r="F15">
            <v>0</v>
          </cell>
          <cell r="I15">
            <v>15</v>
          </cell>
          <cell r="J15">
            <v>7.5</v>
          </cell>
          <cell r="L15">
            <v>0</v>
          </cell>
          <cell r="M15">
            <v>0</v>
          </cell>
          <cell r="N15">
            <v>0</v>
          </cell>
          <cell r="Y15">
            <v>0</v>
          </cell>
          <cell r="Z15">
            <v>165</v>
          </cell>
        </row>
        <row r="16">
          <cell r="B16">
            <v>0</v>
          </cell>
          <cell r="C16">
            <v>0</v>
          </cell>
          <cell r="D16">
            <v>49.5</v>
          </cell>
          <cell r="E16">
            <v>9.5</v>
          </cell>
          <cell r="F16">
            <v>0</v>
          </cell>
          <cell r="I16">
            <v>11.5</v>
          </cell>
          <cell r="J16">
            <v>11.75</v>
          </cell>
          <cell r="L16">
            <v>0</v>
          </cell>
          <cell r="M16">
            <v>0</v>
          </cell>
          <cell r="N16">
            <v>0</v>
          </cell>
          <cell r="Y16">
            <v>0</v>
          </cell>
          <cell r="Z16">
            <v>225</v>
          </cell>
        </row>
        <row r="17">
          <cell r="B17">
            <v>0</v>
          </cell>
          <cell r="C17">
            <v>1.5</v>
          </cell>
          <cell r="D17">
            <v>25.5</v>
          </cell>
          <cell r="E17">
            <v>35.5</v>
          </cell>
          <cell r="F17">
            <v>0</v>
          </cell>
          <cell r="I17">
            <v>21</v>
          </cell>
          <cell r="J17">
            <v>13.5</v>
          </cell>
          <cell r="L17">
            <v>0</v>
          </cell>
          <cell r="M17">
            <v>0</v>
          </cell>
          <cell r="N17">
            <v>1.25</v>
          </cell>
          <cell r="Y17">
            <v>0</v>
          </cell>
          <cell r="Z17">
            <v>247.5</v>
          </cell>
        </row>
        <row r="18">
          <cell r="B18">
            <v>0</v>
          </cell>
          <cell r="C18">
            <v>0</v>
          </cell>
          <cell r="D18">
            <v>13.5</v>
          </cell>
          <cell r="E18">
            <v>3.5</v>
          </cell>
          <cell r="F18">
            <v>0</v>
          </cell>
          <cell r="I18">
            <v>45.5</v>
          </cell>
          <cell r="J18">
            <v>13.25</v>
          </cell>
          <cell r="L18">
            <v>0</v>
          </cell>
          <cell r="M18">
            <v>0</v>
          </cell>
          <cell r="N18">
            <v>3</v>
          </cell>
          <cell r="Y18">
            <v>0</v>
          </cell>
          <cell r="Z18">
            <v>247.5</v>
          </cell>
        </row>
        <row r="19">
          <cell r="B19">
            <v>0</v>
          </cell>
          <cell r="C19">
            <v>0</v>
          </cell>
          <cell r="D19">
            <v>28</v>
          </cell>
          <cell r="E19">
            <v>8.75</v>
          </cell>
          <cell r="F19">
            <v>0</v>
          </cell>
          <cell r="I19">
            <v>13.5</v>
          </cell>
          <cell r="J19">
            <v>13.75</v>
          </cell>
          <cell r="L19">
            <v>1.25</v>
          </cell>
          <cell r="M19">
            <v>0.25</v>
          </cell>
          <cell r="N19">
            <v>1</v>
          </cell>
          <cell r="Y19">
            <v>0</v>
          </cell>
          <cell r="Z19">
            <v>247.5</v>
          </cell>
        </row>
        <row r="20">
          <cell r="B20">
            <v>0</v>
          </cell>
          <cell r="C20">
            <v>0</v>
          </cell>
          <cell r="D20">
            <v>57.75</v>
          </cell>
          <cell r="E20">
            <v>27</v>
          </cell>
          <cell r="F20">
            <v>0</v>
          </cell>
          <cell r="I20">
            <v>9.75</v>
          </cell>
          <cell r="J20">
            <v>16.25</v>
          </cell>
          <cell r="L20">
            <v>0</v>
          </cell>
          <cell r="M20">
            <v>0</v>
          </cell>
          <cell r="N20">
            <v>0.25</v>
          </cell>
          <cell r="Y20">
            <v>0</v>
          </cell>
          <cell r="Z20">
            <v>270</v>
          </cell>
        </row>
        <row r="21">
          <cell r="B21">
            <v>0</v>
          </cell>
          <cell r="C21">
            <v>0</v>
          </cell>
          <cell r="D21">
            <v>84.5</v>
          </cell>
          <cell r="E21">
            <v>19.5</v>
          </cell>
          <cell r="F21">
            <v>0</v>
          </cell>
          <cell r="I21">
            <v>9</v>
          </cell>
          <cell r="J21">
            <v>20</v>
          </cell>
          <cell r="L21">
            <v>0</v>
          </cell>
          <cell r="M21">
            <v>0</v>
          </cell>
          <cell r="N21">
            <v>0.5</v>
          </cell>
          <cell r="Y21">
            <v>0</v>
          </cell>
          <cell r="Z21">
            <v>225</v>
          </cell>
        </row>
        <row r="22">
          <cell r="B22">
            <v>0</v>
          </cell>
          <cell r="C22">
            <v>0</v>
          </cell>
          <cell r="D22">
            <v>45</v>
          </cell>
          <cell r="E22">
            <v>15.5</v>
          </cell>
          <cell r="F22">
            <v>0</v>
          </cell>
          <cell r="I22">
            <v>12.25</v>
          </cell>
          <cell r="J22">
            <v>69.75</v>
          </cell>
          <cell r="L22">
            <v>0</v>
          </cell>
          <cell r="M22">
            <v>0</v>
          </cell>
          <cell r="N22">
            <v>0.25</v>
          </cell>
          <cell r="Y22">
            <v>0</v>
          </cell>
          <cell r="Z22">
            <v>225</v>
          </cell>
        </row>
        <row r="23">
          <cell r="B23">
            <v>0</v>
          </cell>
          <cell r="C23">
            <v>0</v>
          </cell>
          <cell r="D23">
            <v>17.25</v>
          </cell>
          <cell r="E23">
            <v>2.25</v>
          </cell>
          <cell r="F23">
            <v>1.25</v>
          </cell>
          <cell r="I23">
            <v>25.75</v>
          </cell>
          <cell r="J23">
            <v>17.5</v>
          </cell>
          <cell r="L23">
            <v>0</v>
          </cell>
          <cell r="M23">
            <v>0</v>
          </cell>
          <cell r="N23">
            <v>2</v>
          </cell>
          <cell r="Y23">
            <v>0</v>
          </cell>
          <cell r="Z23">
            <v>247.5</v>
          </cell>
        </row>
        <row r="24">
          <cell r="B24">
            <v>0</v>
          </cell>
          <cell r="C24">
            <v>2.5</v>
          </cell>
          <cell r="D24">
            <v>47.5</v>
          </cell>
          <cell r="E24">
            <v>1.25</v>
          </cell>
          <cell r="F24">
            <v>2</v>
          </cell>
          <cell r="I24">
            <v>15.7</v>
          </cell>
          <cell r="J24">
            <v>13.75</v>
          </cell>
          <cell r="L24">
            <v>0</v>
          </cell>
          <cell r="M24">
            <v>0</v>
          </cell>
          <cell r="N24">
            <v>3</v>
          </cell>
          <cell r="Y24">
            <v>0</v>
          </cell>
          <cell r="Z24">
            <v>270</v>
          </cell>
        </row>
        <row r="25">
          <cell r="B25">
            <v>0</v>
          </cell>
          <cell r="C25">
            <v>0</v>
          </cell>
          <cell r="D25">
            <v>52.5</v>
          </cell>
          <cell r="E25">
            <v>29</v>
          </cell>
          <cell r="F25">
            <v>0</v>
          </cell>
          <cell r="I25">
            <v>22.5</v>
          </cell>
          <cell r="J25">
            <v>15</v>
          </cell>
          <cell r="L25">
            <v>0.5</v>
          </cell>
          <cell r="M25">
            <v>0</v>
          </cell>
          <cell r="N25">
            <v>2.5</v>
          </cell>
          <cell r="Y25">
            <v>0</v>
          </cell>
          <cell r="Z25">
            <v>247.5</v>
          </cell>
        </row>
        <row r="26">
          <cell r="B26">
            <v>0</v>
          </cell>
          <cell r="C26">
            <v>0</v>
          </cell>
          <cell r="D26">
            <v>26.5</v>
          </cell>
          <cell r="E26">
            <v>5.75</v>
          </cell>
          <cell r="F26">
            <v>0</v>
          </cell>
          <cell r="I26">
            <v>25.5</v>
          </cell>
          <cell r="J26">
            <v>25</v>
          </cell>
          <cell r="L26">
            <v>0</v>
          </cell>
          <cell r="M26">
            <v>0</v>
          </cell>
          <cell r="N26">
            <v>4.25</v>
          </cell>
          <cell r="Y26">
            <v>0</v>
          </cell>
          <cell r="Z26">
            <v>247.5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23</v>
          </cell>
          <cell r="F27">
            <v>0</v>
          </cell>
          <cell r="I27">
            <v>29</v>
          </cell>
          <cell r="J27">
            <v>3.75</v>
          </cell>
          <cell r="L27">
            <v>0</v>
          </cell>
          <cell r="M27">
            <v>0</v>
          </cell>
          <cell r="N27">
            <v>0.5</v>
          </cell>
          <cell r="Y27">
            <v>0</v>
          </cell>
          <cell r="Z27">
            <v>225</v>
          </cell>
        </row>
        <row r="28">
          <cell r="B28">
            <v>0</v>
          </cell>
          <cell r="C28">
            <v>0</v>
          </cell>
          <cell r="D28">
            <v>42.5</v>
          </cell>
          <cell r="E28">
            <v>1.25</v>
          </cell>
          <cell r="F28">
            <v>0</v>
          </cell>
          <cell r="I28">
            <v>37.75</v>
          </cell>
          <cell r="J28">
            <v>12.5</v>
          </cell>
          <cell r="L28">
            <v>0</v>
          </cell>
          <cell r="M28">
            <v>0</v>
          </cell>
          <cell r="N28">
            <v>0.5</v>
          </cell>
          <cell r="Y28">
            <v>0</v>
          </cell>
          <cell r="Z28">
            <v>225</v>
          </cell>
        </row>
        <row r="29">
          <cell r="B29">
            <v>0</v>
          </cell>
          <cell r="C29">
            <v>0</v>
          </cell>
          <cell r="D29">
            <v>15</v>
          </cell>
          <cell r="E29">
            <v>2</v>
          </cell>
          <cell r="F29">
            <v>0</v>
          </cell>
          <cell r="I29">
            <v>53.75</v>
          </cell>
          <cell r="J29">
            <v>14</v>
          </cell>
          <cell r="L29">
            <v>0</v>
          </cell>
          <cell r="M29">
            <v>0</v>
          </cell>
          <cell r="N29">
            <v>5</v>
          </cell>
          <cell r="Y29">
            <v>0</v>
          </cell>
          <cell r="Z29">
            <v>225</v>
          </cell>
        </row>
        <row r="30">
          <cell r="B30">
            <v>0</v>
          </cell>
          <cell r="C30">
            <v>0</v>
          </cell>
          <cell r="D30">
            <v>22.5</v>
          </cell>
          <cell r="E30">
            <v>3.25</v>
          </cell>
          <cell r="F30">
            <v>0</v>
          </cell>
          <cell r="I30">
            <v>31.5</v>
          </cell>
          <cell r="J30">
            <v>7.75</v>
          </cell>
          <cell r="L30">
            <v>0</v>
          </cell>
          <cell r="M30">
            <v>0</v>
          </cell>
          <cell r="N30">
            <v>7.25</v>
          </cell>
          <cell r="Y30">
            <v>0</v>
          </cell>
          <cell r="Z30">
            <v>225</v>
          </cell>
        </row>
        <row r="31">
          <cell r="B31">
            <v>0</v>
          </cell>
          <cell r="C31">
            <v>0</v>
          </cell>
          <cell r="D31">
            <v>14</v>
          </cell>
          <cell r="E31">
            <v>5.5</v>
          </cell>
          <cell r="F31">
            <v>0</v>
          </cell>
          <cell r="I31">
            <v>19.25</v>
          </cell>
          <cell r="J31">
            <v>10.5</v>
          </cell>
          <cell r="L31">
            <v>0</v>
          </cell>
          <cell r="M31">
            <v>0</v>
          </cell>
          <cell r="N31">
            <v>0</v>
          </cell>
          <cell r="Y31">
            <v>0</v>
          </cell>
          <cell r="Z31">
            <v>270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3.5</v>
          </cell>
          <cell r="F32">
            <v>0</v>
          </cell>
          <cell r="I32">
            <v>16.25</v>
          </cell>
          <cell r="J32">
            <v>7.75</v>
          </cell>
          <cell r="L32">
            <v>0</v>
          </cell>
          <cell r="M32">
            <v>0</v>
          </cell>
          <cell r="N32">
            <v>6.25</v>
          </cell>
          <cell r="Y32">
            <v>0</v>
          </cell>
          <cell r="Z32">
            <v>247.5</v>
          </cell>
        </row>
      </sheetData>
      <sheetData sheetId="6">
        <row r="3">
          <cell r="H3">
            <v>24.25</v>
          </cell>
          <cell r="I3">
            <v>15.5</v>
          </cell>
        </row>
        <row r="4">
          <cell r="H4">
            <v>15.375</v>
          </cell>
          <cell r="I4">
            <v>10.625</v>
          </cell>
        </row>
        <row r="5">
          <cell r="H5">
            <v>67.2</v>
          </cell>
          <cell r="I5">
            <v>13.5</v>
          </cell>
        </row>
        <row r="6">
          <cell r="H6">
            <v>47.375</v>
          </cell>
          <cell r="I6">
            <v>25.875</v>
          </cell>
        </row>
        <row r="7">
          <cell r="H7">
            <v>27.125</v>
          </cell>
          <cell r="I7">
            <v>17.125</v>
          </cell>
        </row>
        <row r="8">
          <cell r="H8">
            <v>24.25</v>
          </cell>
          <cell r="I8">
            <v>2.75</v>
          </cell>
        </row>
        <row r="9">
          <cell r="H9">
            <v>25.25</v>
          </cell>
          <cell r="I9">
            <v>2.25</v>
          </cell>
        </row>
        <row r="10">
          <cell r="H10">
            <v>29</v>
          </cell>
          <cell r="I10">
            <v>2.5</v>
          </cell>
        </row>
        <row r="11">
          <cell r="H11">
            <v>21.25</v>
          </cell>
          <cell r="I11">
            <v>3.75</v>
          </cell>
        </row>
        <row r="12">
          <cell r="H12">
            <v>20.75</v>
          </cell>
          <cell r="I12">
            <v>8.75</v>
          </cell>
        </row>
        <row r="13">
          <cell r="H13">
            <v>30.5</v>
          </cell>
          <cell r="I13">
            <v>7.25</v>
          </cell>
        </row>
        <row r="14">
          <cell r="H14">
            <v>22.25</v>
          </cell>
          <cell r="I14">
            <v>11</v>
          </cell>
        </row>
        <row r="15">
          <cell r="H15">
            <v>12.75</v>
          </cell>
          <cell r="I15">
            <v>1.5</v>
          </cell>
        </row>
        <row r="16">
          <cell r="H16">
            <v>22.75</v>
          </cell>
          <cell r="I16">
            <v>3.25</v>
          </cell>
        </row>
        <row r="17">
          <cell r="H17">
            <v>33.375</v>
          </cell>
          <cell r="I17">
            <v>0.375</v>
          </cell>
        </row>
        <row r="18">
          <cell r="H18">
            <v>10</v>
          </cell>
          <cell r="I18">
            <v>3</v>
          </cell>
        </row>
        <row r="19">
          <cell r="H19">
            <v>14.75</v>
          </cell>
          <cell r="I19">
            <v>6.5</v>
          </cell>
        </row>
        <row r="20">
          <cell r="H20">
            <v>23</v>
          </cell>
          <cell r="I20">
            <v>6.25</v>
          </cell>
        </row>
        <row r="21">
          <cell r="H21">
            <v>2.75</v>
          </cell>
          <cell r="I21">
            <v>1</v>
          </cell>
        </row>
        <row r="22">
          <cell r="H22">
            <v>15.25</v>
          </cell>
          <cell r="I22">
            <v>18.25</v>
          </cell>
        </row>
        <row r="23">
          <cell r="H23">
            <v>11.25</v>
          </cell>
          <cell r="I23">
            <v>9.25</v>
          </cell>
        </row>
        <row r="24">
          <cell r="H24">
            <v>8</v>
          </cell>
          <cell r="I24">
            <v>1.5</v>
          </cell>
        </row>
        <row r="25">
          <cell r="H25">
            <v>40.875</v>
          </cell>
          <cell r="I25">
            <v>7.875</v>
          </cell>
        </row>
        <row r="26">
          <cell r="H26">
            <v>15.5</v>
          </cell>
          <cell r="I26">
            <v>22.75</v>
          </cell>
        </row>
      </sheetData>
      <sheetData sheetId="7">
        <row r="9">
          <cell r="D9">
            <v>35.75</v>
          </cell>
        </row>
        <row r="10">
          <cell r="D10">
            <v>19.25</v>
          </cell>
        </row>
        <row r="11">
          <cell r="D11">
            <v>3</v>
          </cell>
        </row>
        <row r="12">
          <cell r="D12">
            <v>9.5</v>
          </cell>
        </row>
        <row r="13">
          <cell r="D13">
            <v>8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3.25</v>
          </cell>
        </row>
        <row r="17">
          <cell r="D17">
            <v>4.25</v>
          </cell>
        </row>
        <row r="18">
          <cell r="D18">
            <v>11.75</v>
          </cell>
        </row>
        <row r="19">
          <cell r="D19">
            <v>3.75</v>
          </cell>
        </row>
        <row r="20">
          <cell r="D20">
            <v>6.5</v>
          </cell>
        </row>
        <row r="21">
          <cell r="D21">
            <v>6.25</v>
          </cell>
        </row>
        <row r="22">
          <cell r="D22">
            <v>0</v>
          </cell>
        </row>
        <row r="23">
          <cell r="D23">
            <v>1</v>
          </cell>
        </row>
        <row r="24">
          <cell r="D24">
            <v>11.75</v>
          </cell>
        </row>
        <row r="25">
          <cell r="D25">
            <v>2.5</v>
          </cell>
        </row>
        <row r="26">
          <cell r="D26">
            <v>0</v>
          </cell>
        </row>
        <row r="27">
          <cell r="D27">
            <v>0.25</v>
          </cell>
        </row>
        <row r="28">
          <cell r="D28">
            <v>3.75</v>
          </cell>
        </row>
        <row r="29">
          <cell r="D29">
            <v>10.75</v>
          </cell>
        </row>
        <row r="30">
          <cell r="D30">
            <v>18.25</v>
          </cell>
        </row>
        <row r="31">
          <cell r="D31">
            <v>8</v>
          </cell>
        </row>
        <row r="32">
          <cell r="D32">
            <v>36.25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 Summary"/>
      <sheetName val="Lori"/>
      <sheetName val="Cameron"/>
      <sheetName val="Wendy"/>
      <sheetName val="Jess"/>
      <sheetName val="Phil"/>
      <sheetName val="Blank"/>
    </sheetNames>
    <sheetDataSet>
      <sheetData sheetId="0">
        <row r="17">
          <cell r="B17">
            <v>0</v>
          </cell>
          <cell r="C17">
            <v>12.5</v>
          </cell>
          <cell r="D17">
            <v>21</v>
          </cell>
          <cell r="E17">
            <v>70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263.5</v>
          </cell>
          <cell r="K17">
            <v>45.5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15</v>
          </cell>
          <cell r="D18">
            <v>76.5</v>
          </cell>
          <cell r="E18">
            <v>58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219.25</v>
          </cell>
          <cell r="K18">
            <v>43.75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>
            <v>0</v>
          </cell>
          <cell r="C19">
            <v>25</v>
          </cell>
          <cell r="D19">
            <v>12.25</v>
          </cell>
          <cell r="E19">
            <v>46.5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244.75</v>
          </cell>
          <cell r="K19">
            <v>46.5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>
            <v>0</v>
          </cell>
          <cell r="C20">
            <v>25</v>
          </cell>
          <cell r="D20">
            <v>14</v>
          </cell>
          <cell r="E20">
            <v>50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279</v>
          </cell>
          <cell r="K20">
            <v>41.5</v>
          </cell>
          <cell r="L20">
            <v>0</v>
          </cell>
          <cell r="M20">
            <v>0</v>
          </cell>
          <cell r="N20">
            <v>0</v>
          </cell>
          <cell r="O20">
            <v>3</v>
          </cell>
        </row>
        <row r="21">
          <cell r="B21">
            <v>0</v>
          </cell>
          <cell r="C21">
            <v>28</v>
          </cell>
          <cell r="D21">
            <v>97.25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196.5</v>
          </cell>
          <cell r="K21">
            <v>25.75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>
            <v>0</v>
          </cell>
          <cell r="C22">
            <v>18</v>
          </cell>
          <cell r="D22">
            <v>82</v>
          </cell>
          <cell r="E22">
            <v>48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214.75</v>
          </cell>
          <cell r="K22">
            <v>87.25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>
            <v>0</v>
          </cell>
          <cell r="C23">
            <v>20</v>
          </cell>
          <cell r="D23">
            <v>20.75</v>
          </cell>
          <cell r="E23">
            <v>43.75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268.75</v>
          </cell>
          <cell r="K23">
            <v>58.75</v>
          </cell>
          <cell r="L23">
            <v>0</v>
          </cell>
          <cell r="M23">
            <v>0</v>
          </cell>
          <cell r="N23">
            <v>0</v>
          </cell>
          <cell r="O23">
            <v>0.5</v>
          </cell>
        </row>
        <row r="24">
          <cell r="B24">
            <v>0</v>
          </cell>
          <cell r="C24">
            <v>16</v>
          </cell>
          <cell r="D24">
            <v>98.5</v>
          </cell>
          <cell r="E24">
            <v>37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199</v>
          </cell>
          <cell r="K24">
            <v>24</v>
          </cell>
          <cell r="L24">
            <v>0</v>
          </cell>
          <cell r="M24">
            <v>0</v>
          </cell>
          <cell r="N24">
            <v>0</v>
          </cell>
          <cell r="O24">
            <v>0.5</v>
          </cell>
        </row>
        <row r="25">
          <cell r="B25">
            <v>0</v>
          </cell>
          <cell r="C25">
            <v>23.75</v>
          </cell>
          <cell r="D25">
            <v>96</v>
          </cell>
          <cell r="E25">
            <v>62.25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182.5</v>
          </cell>
          <cell r="K25">
            <v>48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>
            <v>0</v>
          </cell>
          <cell r="C26">
            <v>15.25</v>
          </cell>
          <cell r="D26">
            <v>31</v>
          </cell>
          <cell r="E26">
            <v>79.75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240</v>
          </cell>
          <cell r="K26">
            <v>46</v>
          </cell>
          <cell r="L26">
            <v>0</v>
          </cell>
          <cell r="M26">
            <v>0</v>
          </cell>
          <cell r="N26">
            <v>0</v>
          </cell>
          <cell r="O26">
            <v>0.5</v>
          </cell>
        </row>
        <row r="27">
          <cell r="B27">
            <v>0</v>
          </cell>
          <cell r="C27">
            <v>15</v>
          </cell>
          <cell r="D27">
            <v>49.75</v>
          </cell>
          <cell r="E27">
            <v>31.5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252</v>
          </cell>
          <cell r="K27">
            <v>64.25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>
            <v>0</v>
          </cell>
          <cell r="C28">
            <v>17.75</v>
          </cell>
          <cell r="D28">
            <v>75.25</v>
          </cell>
          <cell r="E28">
            <v>51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232</v>
          </cell>
          <cell r="K28">
            <v>71.5</v>
          </cell>
          <cell r="L28">
            <v>0</v>
          </cell>
          <cell r="M28">
            <v>0</v>
          </cell>
          <cell r="N28">
            <v>0</v>
          </cell>
          <cell r="O28">
            <v>2.5</v>
          </cell>
        </row>
        <row r="29">
          <cell r="B29">
            <v>0</v>
          </cell>
          <cell r="C29">
            <v>14.5</v>
          </cell>
          <cell r="D29">
            <v>122.5</v>
          </cell>
          <cell r="E29">
            <v>82.5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87.5</v>
          </cell>
          <cell r="K29">
            <v>66.5</v>
          </cell>
          <cell r="L29">
            <v>0</v>
          </cell>
          <cell r="M29">
            <v>0</v>
          </cell>
          <cell r="N29">
            <v>0</v>
          </cell>
          <cell r="O29">
            <v>1.5</v>
          </cell>
        </row>
        <row r="30">
          <cell r="B30">
            <v>0</v>
          </cell>
          <cell r="C30">
            <v>29</v>
          </cell>
          <cell r="D30">
            <v>85.5</v>
          </cell>
          <cell r="E30">
            <v>39.5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181</v>
          </cell>
          <cell r="K30">
            <v>40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>
            <v>0</v>
          </cell>
          <cell r="C31">
            <v>27</v>
          </cell>
          <cell r="D31">
            <v>8.5</v>
          </cell>
          <cell r="E31">
            <v>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234.5</v>
          </cell>
          <cell r="K31">
            <v>58</v>
          </cell>
          <cell r="L31">
            <v>0</v>
          </cell>
          <cell r="M31">
            <v>0</v>
          </cell>
          <cell r="N31">
            <v>0</v>
          </cell>
          <cell r="O31">
            <v>0.5</v>
          </cell>
        </row>
        <row r="32">
          <cell r="B32">
            <v>0</v>
          </cell>
          <cell r="C32">
            <v>24.5</v>
          </cell>
          <cell r="D32">
            <v>131</v>
          </cell>
          <cell r="E32">
            <v>42.5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188</v>
          </cell>
          <cell r="K32">
            <v>63.5</v>
          </cell>
          <cell r="L32">
            <v>0</v>
          </cell>
          <cell r="M32">
            <v>0</v>
          </cell>
          <cell r="N32">
            <v>0</v>
          </cell>
          <cell r="O32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 Summary"/>
      <sheetName val="Lori"/>
      <sheetName val="Cameron"/>
      <sheetName val="Wendy"/>
      <sheetName val="Jess"/>
      <sheetName val="Phil"/>
      <sheetName val="Blank"/>
    </sheetNames>
    <sheetDataSet>
      <sheetData sheetId="0">
        <row r="9">
          <cell r="B9">
            <v>0</v>
          </cell>
          <cell r="C9">
            <v>40</v>
          </cell>
          <cell r="D9">
            <v>144.75</v>
          </cell>
          <cell r="E9">
            <v>15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157</v>
          </cell>
          <cell r="K9">
            <v>55.25</v>
          </cell>
          <cell r="L9">
            <v>0</v>
          </cell>
          <cell r="M9">
            <v>0</v>
          </cell>
          <cell r="N9">
            <v>0</v>
          </cell>
          <cell r="O9">
            <v>0.5</v>
          </cell>
        </row>
        <row r="10">
          <cell r="B10">
            <v>0</v>
          </cell>
          <cell r="C10">
            <v>45.5</v>
          </cell>
          <cell r="D10">
            <v>85.75</v>
          </cell>
          <cell r="E10">
            <v>35.5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174.75</v>
          </cell>
          <cell r="K10">
            <v>70.5</v>
          </cell>
          <cell r="L10">
            <v>0</v>
          </cell>
          <cell r="M10">
            <v>0</v>
          </cell>
          <cell r="N10">
            <v>0</v>
          </cell>
          <cell r="O10">
            <v>0.5</v>
          </cell>
        </row>
        <row r="11">
          <cell r="B11">
            <v>0</v>
          </cell>
          <cell r="C11">
            <v>58</v>
          </cell>
          <cell r="D11">
            <v>3.5</v>
          </cell>
          <cell r="E11">
            <v>38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198.5</v>
          </cell>
          <cell r="K11">
            <v>75.5</v>
          </cell>
          <cell r="L11">
            <v>0</v>
          </cell>
          <cell r="M11">
            <v>0</v>
          </cell>
          <cell r="N11">
            <v>0</v>
          </cell>
          <cell r="O11">
            <v>1.5</v>
          </cell>
        </row>
        <row r="12">
          <cell r="B12">
            <v>0</v>
          </cell>
          <cell r="C12">
            <v>25</v>
          </cell>
          <cell r="D12">
            <v>37.5</v>
          </cell>
          <cell r="E12">
            <v>12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206.5</v>
          </cell>
          <cell r="K12">
            <v>92</v>
          </cell>
          <cell r="L12">
            <v>0</v>
          </cell>
          <cell r="M12">
            <v>0</v>
          </cell>
          <cell r="N12">
            <v>0</v>
          </cell>
          <cell r="O12">
            <v>2</v>
          </cell>
        </row>
        <row r="13">
          <cell r="B13">
            <v>0</v>
          </cell>
          <cell r="C13">
            <v>23</v>
          </cell>
          <cell r="D13">
            <v>22</v>
          </cell>
          <cell r="E13">
            <v>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207</v>
          </cell>
          <cell r="K13">
            <v>90.5</v>
          </cell>
          <cell r="L13">
            <v>0</v>
          </cell>
          <cell r="M13">
            <v>0</v>
          </cell>
          <cell r="N13">
            <v>0</v>
          </cell>
          <cell r="O13">
            <v>20.5</v>
          </cell>
        </row>
        <row r="14">
          <cell r="B14">
            <v>0</v>
          </cell>
          <cell r="C14">
            <v>25</v>
          </cell>
          <cell r="D14">
            <v>39</v>
          </cell>
          <cell r="E14">
            <v>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249.75</v>
          </cell>
          <cell r="K14">
            <v>81.25</v>
          </cell>
          <cell r="L14">
            <v>0</v>
          </cell>
          <cell r="M14">
            <v>0</v>
          </cell>
          <cell r="N14">
            <v>0</v>
          </cell>
          <cell r="O14">
            <v>37</v>
          </cell>
        </row>
        <row r="15">
          <cell r="B15">
            <v>0</v>
          </cell>
          <cell r="C15">
            <v>24.5</v>
          </cell>
          <cell r="D15">
            <v>21</v>
          </cell>
          <cell r="E15">
            <v>22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229.25</v>
          </cell>
          <cell r="K15">
            <v>99.75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B16">
            <v>0</v>
          </cell>
          <cell r="C16">
            <v>30</v>
          </cell>
          <cell r="D16">
            <v>13.75</v>
          </cell>
          <cell r="E16">
            <v>34.5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203.75</v>
          </cell>
          <cell r="K16">
            <v>120.25</v>
          </cell>
          <cell r="L16">
            <v>0</v>
          </cell>
          <cell r="M16">
            <v>0</v>
          </cell>
          <cell r="N16">
            <v>0</v>
          </cell>
          <cell r="O16">
            <v>10.25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ineering Summary"/>
      <sheetName val="James"/>
      <sheetName val="Brandon"/>
      <sheetName val="Keven"/>
    </sheetNames>
    <sheetDataSet>
      <sheetData sheetId="0">
        <row r="17">
          <cell r="B17">
            <v>0</v>
          </cell>
          <cell r="C17">
            <v>0</v>
          </cell>
          <cell r="D17">
            <v>7.5</v>
          </cell>
          <cell r="E17">
            <v>20</v>
          </cell>
          <cell r="F17">
            <v>22</v>
          </cell>
          <cell r="G17">
            <v>2</v>
          </cell>
          <cell r="H17">
            <v>42.25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15</v>
          </cell>
          <cell r="N17">
            <v>0</v>
          </cell>
          <cell r="O17">
            <v>36.25</v>
          </cell>
        </row>
        <row r="18">
          <cell r="B18">
            <v>0</v>
          </cell>
          <cell r="C18">
            <v>0</v>
          </cell>
          <cell r="D18">
            <v>14.25</v>
          </cell>
          <cell r="E18">
            <v>10</v>
          </cell>
          <cell r="F18">
            <v>24.25</v>
          </cell>
          <cell r="G18">
            <v>5</v>
          </cell>
          <cell r="H18">
            <v>38.25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0</v>
          </cell>
          <cell r="O18">
            <v>33.25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30</v>
          </cell>
          <cell r="F19">
            <v>35</v>
          </cell>
          <cell r="G19">
            <v>8</v>
          </cell>
          <cell r="H19">
            <v>52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11</v>
          </cell>
          <cell r="N19">
            <v>0</v>
          </cell>
          <cell r="O19">
            <v>5</v>
          </cell>
        </row>
        <row r="20">
          <cell r="B20">
            <v>0</v>
          </cell>
          <cell r="C20">
            <v>0</v>
          </cell>
          <cell r="D20">
            <v>26</v>
          </cell>
          <cell r="E20">
            <v>21.25</v>
          </cell>
          <cell r="F20">
            <v>15</v>
          </cell>
          <cell r="G20">
            <v>16</v>
          </cell>
          <cell r="H20">
            <v>62.25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11.5</v>
          </cell>
          <cell r="N20">
            <v>0</v>
          </cell>
          <cell r="O20">
            <v>5</v>
          </cell>
        </row>
        <row r="21">
          <cell r="B21">
            <v>0</v>
          </cell>
          <cell r="C21">
            <v>0</v>
          </cell>
          <cell r="D21">
            <v>11</v>
          </cell>
          <cell r="E21">
            <v>34.25</v>
          </cell>
          <cell r="F21">
            <v>7.5</v>
          </cell>
          <cell r="G21">
            <v>6</v>
          </cell>
          <cell r="H21">
            <v>50.75</v>
          </cell>
          <cell r="I21">
            <v>0.5</v>
          </cell>
          <cell r="J21">
            <v>0</v>
          </cell>
          <cell r="K21">
            <v>0</v>
          </cell>
          <cell r="L21">
            <v>0</v>
          </cell>
          <cell r="M21">
            <v>10</v>
          </cell>
          <cell r="N21">
            <v>15</v>
          </cell>
          <cell r="O21">
            <v>1.5</v>
          </cell>
        </row>
        <row r="22">
          <cell r="B22">
            <v>0</v>
          </cell>
          <cell r="C22">
            <v>0</v>
          </cell>
          <cell r="D22">
            <v>45</v>
          </cell>
          <cell r="E22">
            <v>24</v>
          </cell>
          <cell r="F22">
            <v>35</v>
          </cell>
          <cell r="G22">
            <v>4</v>
          </cell>
          <cell r="H22">
            <v>26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6</v>
          </cell>
          <cell r="O22">
            <v>25</v>
          </cell>
        </row>
        <row r="23">
          <cell r="B23">
            <v>0</v>
          </cell>
          <cell r="C23">
            <v>0</v>
          </cell>
          <cell r="D23">
            <v>9</v>
          </cell>
          <cell r="E23">
            <v>35</v>
          </cell>
          <cell r="F23">
            <v>40</v>
          </cell>
          <cell r="G23">
            <v>7</v>
          </cell>
          <cell r="H23">
            <v>24.5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6</v>
          </cell>
          <cell r="N23">
            <v>0</v>
          </cell>
          <cell r="O23">
            <v>20</v>
          </cell>
        </row>
        <row r="24">
          <cell r="B24">
            <v>0</v>
          </cell>
          <cell r="C24">
            <v>0</v>
          </cell>
          <cell r="D24">
            <v>13.5</v>
          </cell>
          <cell r="E24">
            <v>70.5</v>
          </cell>
          <cell r="F24">
            <v>21</v>
          </cell>
          <cell r="G24">
            <v>3</v>
          </cell>
          <cell r="H24">
            <v>11.5</v>
          </cell>
          <cell r="I24">
            <v>4</v>
          </cell>
          <cell r="J24">
            <v>0</v>
          </cell>
          <cell r="K24">
            <v>0</v>
          </cell>
          <cell r="L24">
            <v>0</v>
          </cell>
          <cell r="M24">
            <v>4</v>
          </cell>
          <cell r="N24">
            <v>0</v>
          </cell>
          <cell r="O24">
            <v>7.5</v>
          </cell>
        </row>
        <row r="25">
          <cell r="B25">
            <v>0</v>
          </cell>
          <cell r="C25">
            <v>0</v>
          </cell>
          <cell r="D25">
            <v>7.5</v>
          </cell>
          <cell r="E25">
            <v>52</v>
          </cell>
          <cell r="F25">
            <v>26.5</v>
          </cell>
          <cell r="G25">
            <v>8</v>
          </cell>
          <cell r="H25">
            <v>15</v>
          </cell>
          <cell r="I25">
            <v>1.5</v>
          </cell>
          <cell r="J25">
            <v>0</v>
          </cell>
          <cell r="K25">
            <v>0</v>
          </cell>
          <cell r="L25">
            <v>0</v>
          </cell>
          <cell r="M25">
            <v>8</v>
          </cell>
          <cell r="N25">
            <v>5</v>
          </cell>
          <cell r="O25">
            <v>20.5</v>
          </cell>
        </row>
        <row r="26">
          <cell r="B26">
            <v>0</v>
          </cell>
          <cell r="C26">
            <v>0</v>
          </cell>
          <cell r="D26">
            <v>15</v>
          </cell>
          <cell r="E26">
            <v>64</v>
          </cell>
          <cell r="F26">
            <v>83</v>
          </cell>
          <cell r="G26">
            <v>7.5</v>
          </cell>
          <cell r="H26">
            <v>36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16</v>
          </cell>
          <cell r="N26">
            <v>0</v>
          </cell>
          <cell r="O26">
            <v>2.5</v>
          </cell>
        </row>
        <row r="27">
          <cell r="B27">
            <v>0</v>
          </cell>
          <cell r="C27">
            <v>0</v>
          </cell>
          <cell r="D27">
            <v>37.5</v>
          </cell>
          <cell r="E27">
            <v>32</v>
          </cell>
          <cell r="F27">
            <v>41</v>
          </cell>
          <cell r="G27">
            <v>11.5</v>
          </cell>
          <cell r="H27">
            <v>50</v>
          </cell>
          <cell r="I27">
            <v>3</v>
          </cell>
          <cell r="J27">
            <v>0</v>
          </cell>
          <cell r="K27">
            <v>0</v>
          </cell>
          <cell r="L27">
            <v>0</v>
          </cell>
          <cell r="M27">
            <v>40.5</v>
          </cell>
          <cell r="N27">
            <v>3</v>
          </cell>
          <cell r="O27">
            <v>14</v>
          </cell>
        </row>
        <row r="28">
          <cell r="B28">
            <v>0</v>
          </cell>
          <cell r="C28">
            <v>0</v>
          </cell>
          <cell r="D28">
            <v>20</v>
          </cell>
          <cell r="E28">
            <v>41.75</v>
          </cell>
          <cell r="F28">
            <v>75.75</v>
          </cell>
          <cell r="G28">
            <v>3</v>
          </cell>
          <cell r="H28">
            <v>21.5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52</v>
          </cell>
          <cell r="N28">
            <v>0</v>
          </cell>
          <cell r="O28">
            <v>20</v>
          </cell>
        </row>
        <row r="29">
          <cell r="B29">
            <v>0</v>
          </cell>
          <cell r="C29">
            <v>0</v>
          </cell>
          <cell r="D29">
            <v>23.5</v>
          </cell>
          <cell r="E29">
            <v>39.5</v>
          </cell>
          <cell r="F29">
            <v>36</v>
          </cell>
          <cell r="G29">
            <v>3</v>
          </cell>
          <cell r="H29">
            <v>40.5</v>
          </cell>
          <cell r="I29">
            <v>2</v>
          </cell>
          <cell r="J29">
            <v>0</v>
          </cell>
          <cell r="K29">
            <v>0</v>
          </cell>
          <cell r="L29">
            <v>0</v>
          </cell>
          <cell r="M29">
            <v>35.5</v>
          </cell>
          <cell r="N29">
            <v>4</v>
          </cell>
          <cell r="O29">
            <v>20</v>
          </cell>
        </row>
        <row r="30">
          <cell r="B30">
            <v>0</v>
          </cell>
          <cell r="C30">
            <v>0</v>
          </cell>
          <cell r="D30">
            <v>25</v>
          </cell>
          <cell r="E30">
            <v>49.5</v>
          </cell>
          <cell r="F30">
            <v>53.5</v>
          </cell>
          <cell r="G30">
            <v>0</v>
          </cell>
          <cell r="H30">
            <v>46.5</v>
          </cell>
          <cell r="I30">
            <v>2</v>
          </cell>
          <cell r="J30">
            <v>0</v>
          </cell>
          <cell r="K30">
            <v>0</v>
          </cell>
          <cell r="L30">
            <v>0</v>
          </cell>
          <cell r="M30">
            <v>27.5</v>
          </cell>
          <cell r="N30">
            <v>0</v>
          </cell>
          <cell r="O30">
            <v>0</v>
          </cell>
        </row>
        <row r="31">
          <cell r="B31">
            <v>0</v>
          </cell>
          <cell r="C31">
            <v>0</v>
          </cell>
          <cell r="D31">
            <v>45</v>
          </cell>
          <cell r="E31">
            <v>34.5</v>
          </cell>
          <cell r="F31">
            <v>50</v>
          </cell>
          <cell r="G31">
            <v>5.5</v>
          </cell>
          <cell r="H31">
            <v>12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77</v>
          </cell>
          <cell r="N31">
            <v>0</v>
          </cell>
          <cell r="O31">
            <v>7.5</v>
          </cell>
        </row>
        <row r="32">
          <cell r="B32">
            <v>0</v>
          </cell>
          <cell r="C32">
            <v>0</v>
          </cell>
          <cell r="D32">
            <v>34.5</v>
          </cell>
          <cell r="E32">
            <v>27</v>
          </cell>
          <cell r="F32">
            <v>81</v>
          </cell>
          <cell r="G32">
            <v>0.5</v>
          </cell>
          <cell r="H32">
            <v>32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52</v>
          </cell>
          <cell r="N32">
            <v>0</v>
          </cell>
          <cell r="O32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 Summary"/>
      <sheetName val="James"/>
      <sheetName val="Keven"/>
      <sheetName val="Brandon"/>
    </sheetNames>
    <sheetDataSet>
      <sheetData sheetId="0">
        <row r="9">
          <cell r="B9">
            <v>0</v>
          </cell>
          <cell r="C9">
            <v>3</v>
          </cell>
          <cell r="D9">
            <v>68</v>
          </cell>
          <cell r="E9">
            <v>0</v>
          </cell>
          <cell r="F9">
            <v>105.25</v>
          </cell>
          <cell r="G9">
            <v>0</v>
          </cell>
          <cell r="H9">
            <v>33.25</v>
          </cell>
          <cell r="I9">
            <v>6</v>
          </cell>
          <cell r="J9">
            <v>0</v>
          </cell>
          <cell r="K9">
            <v>0</v>
          </cell>
          <cell r="L9">
            <v>0</v>
          </cell>
          <cell r="M9">
            <v>15</v>
          </cell>
          <cell r="N9">
            <v>0</v>
          </cell>
          <cell r="O9">
            <v>2</v>
          </cell>
        </row>
        <row r="10">
          <cell r="B10">
            <v>0</v>
          </cell>
          <cell r="C10">
            <v>3</v>
          </cell>
          <cell r="D10">
            <v>24.5</v>
          </cell>
          <cell r="E10">
            <v>8</v>
          </cell>
          <cell r="F10">
            <v>110.5</v>
          </cell>
          <cell r="G10">
            <v>12</v>
          </cell>
          <cell r="H10">
            <v>43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18</v>
          </cell>
          <cell r="N10">
            <v>1</v>
          </cell>
          <cell r="O10">
            <v>2</v>
          </cell>
        </row>
        <row r="11">
          <cell r="B11">
            <v>0</v>
          </cell>
          <cell r="C11">
            <v>8</v>
          </cell>
          <cell r="D11">
            <v>0</v>
          </cell>
          <cell r="E11">
            <v>5</v>
          </cell>
          <cell r="F11">
            <v>85.5</v>
          </cell>
          <cell r="G11">
            <v>4</v>
          </cell>
          <cell r="H11">
            <v>67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31.5</v>
          </cell>
          <cell r="N11">
            <v>0</v>
          </cell>
          <cell r="O11">
            <v>4</v>
          </cell>
        </row>
        <row r="12">
          <cell r="B12">
            <v>0</v>
          </cell>
          <cell r="C12">
            <v>0</v>
          </cell>
          <cell r="D12">
            <v>22.5</v>
          </cell>
          <cell r="E12">
            <v>6</v>
          </cell>
          <cell r="F12">
            <v>92.5</v>
          </cell>
          <cell r="G12">
            <v>5</v>
          </cell>
          <cell r="H12">
            <v>18</v>
          </cell>
          <cell r="I12">
            <v>25.5</v>
          </cell>
          <cell r="J12">
            <v>0</v>
          </cell>
          <cell r="K12">
            <v>0</v>
          </cell>
          <cell r="L12">
            <v>0</v>
          </cell>
          <cell r="M12">
            <v>37.5</v>
          </cell>
          <cell r="N12">
            <v>0</v>
          </cell>
          <cell r="O12">
            <v>3</v>
          </cell>
        </row>
        <row r="13">
          <cell r="B13">
            <v>0</v>
          </cell>
          <cell r="C13">
            <v>4</v>
          </cell>
          <cell r="D13">
            <v>1</v>
          </cell>
          <cell r="E13">
            <v>0</v>
          </cell>
          <cell r="F13">
            <v>87</v>
          </cell>
          <cell r="G13">
            <v>3</v>
          </cell>
          <cell r="H13">
            <v>20.25</v>
          </cell>
          <cell r="I13">
            <v>39</v>
          </cell>
          <cell r="J13">
            <v>0</v>
          </cell>
          <cell r="K13">
            <v>0</v>
          </cell>
          <cell r="L13">
            <v>0</v>
          </cell>
          <cell r="M13">
            <v>44.75</v>
          </cell>
          <cell r="N13">
            <v>0</v>
          </cell>
          <cell r="O13">
            <v>11</v>
          </cell>
        </row>
        <row r="14">
          <cell r="B14">
            <v>0</v>
          </cell>
          <cell r="C14">
            <v>5</v>
          </cell>
          <cell r="D14">
            <v>108</v>
          </cell>
          <cell r="E14">
            <v>0</v>
          </cell>
          <cell r="F14">
            <v>61.5</v>
          </cell>
          <cell r="G14">
            <v>0</v>
          </cell>
          <cell r="H14">
            <v>16</v>
          </cell>
          <cell r="I14">
            <v>43</v>
          </cell>
          <cell r="J14">
            <v>0</v>
          </cell>
          <cell r="K14">
            <v>0</v>
          </cell>
          <cell r="L14">
            <v>0</v>
          </cell>
          <cell r="M14">
            <v>13.5</v>
          </cell>
          <cell r="N14">
            <v>0</v>
          </cell>
          <cell r="O14">
            <v>8</v>
          </cell>
        </row>
        <row r="15">
          <cell r="B15">
            <v>0</v>
          </cell>
          <cell r="C15">
            <v>0</v>
          </cell>
          <cell r="D15">
            <v>25.5</v>
          </cell>
          <cell r="E15">
            <v>5</v>
          </cell>
          <cell r="F15">
            <v>67.5</v>
          </cell>
          <cell r="G15">
            <v>6</v>
          </cell>
          <cell r="H15">
            <v>23.5</v>
          </cell>
          <cell r="I15">
            <v>18</v>
          </cell>
          <cell r="J15">
            <v>0</v>
          </cell>
          <cell r="K15">
            <v>0</v>
          </cell>
          <cell r="L15">
            <v>0</v>
          </cell>
          <cell r="M15">
            <v>51</v>
          </cell>
          <cell r="N15">
            <v>0</v>
          </cell>
          <cell r="O15">
            <v>36</v>
          </cell>
        </row>
        <row r="16">
          <cell r="B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riffs Summary"/>
      <sheetName val="Mary"/>
      <sheetName val="Kevin"/>
      <sheetName val="Donna"/>
      <sheetName val="Jerlyn"/>
      <sheetName val="Jana"/>
      <sheetName val="Tim"/>
    </sheetNames>
    <sheetDataSet>
      <sheetData sheetId="0">
        <row r="17">
          <cell r="B17">
            <v>0</v>
          </cell>
          <cell r="C17">
            <v>37.5</v>
          </cell>
          <cell r="D17">
            <v>12.5</v>
          </cell>
          <cell r="E17">
            <v>5</v>
          </cell>
          <cell r="F17">
            <v>122</v>
          </cell>
          <cell r="G17">
            <v>28.5</v>
          </cell>
          <cell r="H17">
            <v>27</v>
          </cell>
          <cell r="I17">
            <v>10</v>
          </cell>
          <cell r="J17">
            <v>1</v>
          </cell>
          <cell r="K17">
            <v>1</v>
          </cell>
          <cell r="L17">
            <v>0</v>
          </cell>
          <cell r="M17">
            <v>3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30</v>
          </cell>
          <cell r="D18">
            <v>30</v>
          </cell>
          <cell r="E18">
            <v>12.5</v>
          </cell>
          <cell r="F18">
            <v>110.5</v>
          </cell>
          <cell r="G18">
            <v>7.5</v>
          </cell>
          <cell r="H18">
            <v>45</v>
          </cell>
          <cell r="I18">
            <v>0</v>
          </cell>
          <cell r="J18">
            <v>9</v>
          </cell>
          <cell r="K18">
            <v>0</v>
          </cell>
          <cell r="L18">
            <v>0</v>
          </cell>
          <cell r="M18">
            <v>3</v>
          </cell>
          <cell r="N18">
            <v>0</v>
          </cell>
          <cell r="O18">
            <v>0</v>
          </cell>
        </row>
        <row r="19">
          <cell r="B19">
            <v>0</v>
          </cell>
          <cell r="C19">
            <v>34</v>
          </cell>
          <cell r="D19">
            <v>7.5</v>
          </cell>
          <cell r="E19">
            <v>0</v>
          </cell>
          <cell r="F19">
            <v>73</v>
          </cell>
          <cell r="G19">
            <v>0</v>
          </cell>
          <cell r="H19">
            <v>48</v>
          </cell>
          <cell r="I19">
            <v>0</v>
          </cell>
          <cell r="J19">
            <v>34</v>
          </cell>
          <cell r="K19">
            <v>6</v>
          </cell>
          <cell r="L19">
            <v>0</v>
          </cell>
          <cell r="M19">
            <v>22.5</v>
          </cell>
          <cell r="N19">
            <v>0</v>
          </cell>
          <cell r="O19">
            <v>0</v>
          </cell>
        </row>
        <row r="20">
          <cell r="B20">
            <v>0</v>
          </cell>
          <cell r="C20">
            <v>35.5</v>
          </cell>
          <cell r="D20">
            <v>0</v>
          </cell>
          <cell r="E20">
            <v>0</v>
          </cell>
          <cell r="F20">
            <v>86.5</v>
          </cell>
          <cell r="G20">
            <v>3</v>
          </cell>
          <cell r="H20">
            <v>27</v>
          </cell>
          <cell r="I20">
            <v>19</v>
          </cell>
          <cell r="J20">
            <v>21</v>
          </cell>
          <cell r="K20">
            <v>18</v>
          </cell>
          <cell r="L20">
            <v>4</v>
          </cell>
          <cell r="M20">
            <v>26.5</v>
          </cell>
          <cell r="N20">
            <v>7</v>
          </cell>
          <cell r="O20">
            <v>0</v>
          </cell>
        </row>
        <row r="21">
          <cell r="B21">
            <v>0</v>
          </cell>
          <cell r="C21">
            <v>66.5</v>
          </cell>
          <cell r="D21">
            <v>67.5</v>
          </cell>
          <cell r="E21">
            <v>2</v>
          </cell>
          <cell r="F21">
            <v>57</v>
          </cell>
          <cell r="G21">
            <v>1</v>
          </cell>
          <cell r="H21">
            <v>12</v>
          </cell>
          <cell r="I21">
            <v>3</v>
          </cell>
          <cell r="J21">
            <v>12</v>
          </cell>
          <cell r="K21">
            <v>12.5</v>
          </cell>
          <cell r="L21">
            <v>1</v>
          </cell>
          <cell r="M21">
            <v>12</v>
          </cell>
          <cell r="N21">
            <v>1</v>
          </cell>
          <cell r="O21">
            <v>0</v>
          </cell>
        </row>
        <row r="22">
          <cell r="B22">
            <v>0</v>
          </cell>
          <cell r="C22">
            <v>54.5</v>
          </cell>
          <cell r="D22">
            <v>7.5</v>
          </cell>
          <cell r="E22">
            <v>2</v>
          </cell>
          <cell r="F22">
            <v>56.5</v>
          </cell>
          <cell r="G22">
            <v>20</v>
          </cell>
          <cell r="H22">
            <v>22.5</v>
          </cell>
          <cell r="I22">
            <v>7</v>
          </cell>
          <cell r="J22">
            <v>5</v>
          </cell>
          <cell r="K22">
            <v>5</v>
          </cell>
          <cell r="L22">
            <v>0</v>
          </cell>
          <cell r="M22">
            <v>4</v>
          </cell>
          <cell r="N22">
            <v>0</v>
          </cell>
          <cell r="O22">
            <v>0</v>
          </cell>
        </row>
        <row r="23">
          <cell r="B23">
            <v>0</v>
          </cell>
          <cell r="C23">
            <v>39</v>
          </cell>
          <cell r="D23">
            <v>7.5</v>
          </cell>
          <cell r="E23">
            <v>0</v>
          </cell>
          <cell r="F23">
            <v>52.5</v>
          </cell>
          <cell r="G23">
            <v>9.5</v>
          </cell>
          <cell r="H23">
            <v>40</v>
          </cell>
          <cell r="I23">
            <v>2</v>
          </cell>
          <cell r="J23">
            <v>12.5</v>
          </cell>
          <cell r="K23">
            <v>0</v>
          </cell>
          <cell r="L23">
            <v>0</v>
          </cell>
          <cell r="M23">
            <v>2</v>
          </cell>
          <cell r="N23">
            <v>0</v>
          </cell>
          <cell r="O23">
            <v>0</v>
          </cell>
        </row>
        <row r="24">
          <cell r="B24">
            <v>0</v>
          </cell>
          <cell r="C24">
            <v>171.5</v>
          </cell>
          <cell r="D24">
            <v>0</v>
          </cell>
          <cell r="E24">
            <v>0</v>
          </cell>
          <cell r="F24">
            <v>40.5</v>
          </cell>
          <cell r="G24">
            <v>8.5</v>
          </cell>
          <cell r="H24">
            <v>37</v>
          </cell>
          <cell r="I24">
            <v>10</v>
          </cell>
          <cell r="J24">
            <v>10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>
            <v>0</v>
          </cell>
          <cell r="C25">
            <v>48</v>
          </cell>
          <cell r="D25">
            <v>30</v>
          </cell>
          <cell r="E25">
            <v>0</v>
          </cell>
          <cell r="F25">
            <v>145</v>
          </cell>
          <cell r="G25">
            <v>6</v>
          </cell>
          <cell r="H25">
            <v>4</v>
          </cell>
          <cell r="I25">
            <v>10</v>
          </cell>
          <cell r="J25">
            <v>4.5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>
            <v>0</v>
          </cell>
          <cell r="C26">
            <v>77</v>
          </cell>
          <cell r="D26">
            <v>23.5</v>
          </cell>
          <cell r="E26">
            <v>7.5</v>
          </cell>
          <cell r="F26">
            <v>148</v>
          </cell>
          <cell r="G26">
            <v>3.5</v>
          </cell>
          <cell r="H26">
            <v>1</v>
          </cell>
          <cell r="I26">
            <v>37.5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>
            <v>0</v>
          </cell>
          <cell r="C27">
            <v>53</v>
          </cell>
          <cell r="D27">
            <v>26</v>
          </cell>
          <cell r="E27">
            <v>0</v>
          </cell>
          <cell r="F27">
            <v>159.5</v>
          </cell>
          <cell r="G27">
            <v>11</v>
          </cell>
          <cell r="H27">
            <v>23</v>
          </cell>
          <cell r="I27">
            <v>11</v>
          </cell>
          <cell r="J27">
            <v>37.5</v>
          </cell>
          <cell r="K27">
            <v>5</v>
          </cell>
          <cell r="L27">
            <v>0</v>
          </cell>
          <cell r="M27">
            <v>2</v>
          </cell>
          <cell r="N27">
            <v>2</v>
          </cell>
          <cell r="O27">
            <v>0</v>
          </cell>
        </row>
        <row r="28">
          <cell r="B28">
            <v>0</v>
          </cell>
          <cell r="C28">
            <v>48</v>
          </cell>
          <cell r="D28">
            <v>44.5</v>
          </cell>
          <cell r="E28">
            <v>2</v>
          </cell>
          <cell r="F28">
            <v>187</v>
          </cell>
          <cell r="G28">
            <v>14</v>
          </cell>
          <cell r="H28">
            <v>35</v>
          </cell>
          <cell r="I28">
            <v>9.5</v>
          </cell>
          <cell r="J28">
            <v>16</v>
          </cell>
          <cell r="K28">
            <v>0</v>
          </cell>
          <cell r="L28">
            <v>0</v>
          </cell>
          <cell r="M28">
            <v>2</v>
          </cell>
          <cell r="N28">
            <v>2</v>
          </cell>
          <cell r="O28">
            <v>0</v>
          </cell>
        </row>
        <row r="29">
          <cell r="B29">
            <v>0</v>
          </cell>
          <cell r="C29">
            <v>36.25</v>
          </cell>
          <cell r="D29">
            <v>32.75</v>
          </cell>
          <cell r="E29">
            <v>0</v>
          </cell>
          <cell r="F29">
            <v>113.5</v>
          </cell>
          <cell r="G29">
            <v>23</v>
          </cell>
          <cell r="H29">
            <v>4</v>
          </cell>
          <cell r="I29">
            <v>10</v>
          </cell>
          <cell r="J29">
            <v>37.5</v>
          </cell>
          <cell r="K29">
            <v>35.5</v>
          </cell>
          <cell r="L29">
            <v>0</v>
          </cell>
          <cell r="M29">
            <v>7</v>
          </cell>
          <cell r="N29">
            <v>0.5</v>
          </cell>
          <cell r="O29">
            <v>0</v>
          </cell>
        </row>
        <row r="30">
          <cell r="B30">
            <v>0</v>
          </cell>
          <cell r="C30">
            <v>19</v>
          </cell>
          <cell r="D30">
            <v>100.25</v>
          </cell>
          <cell r="E30">
            <v>0</v>
          </cell>
          <cell r="F30">
            <v>95.5</v>
          </cell>
          <cell r="G30">
            <v>3.25</v>
          </cell>
          <cell r="H30">
            <v>13</v>
          </cell>
          <cell r="I30">
            <v>5</v>
          </cell>
          <cell r="J30">
            <v>56</v>
          </cell>
          <cell r="K30">
            <v>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>
            <v>0</v>
          </cell>
          <cell r="C31">
            <v>44</v>
          </cell>
          <cell r="D31">
            <v>8.5</v>
          </cell>
          <cell r="E31">
            <v>0</v>
          </cell>
          <cell r="F31">
            <v>203.75</v>
          </cell>
          <cell r="G31">
            <v>9.5</v>
          </cell>
          <cell r="H31">
            <v>14</v>
          </cell>
          <cell r="I31">
            <v>8.75</v>
          </cell>
          <cell r="J31">
            <v>18</v>
          </cell>
          <cell r="K31">
            <v>12</v>
          </cell>
          <cell r="L31">
            <v>0</v>
          </cell>
          <cell r="M31">
            <v>11.5</v>
          </cell>
          <cell r="N31">
            <v>0</v>
          </cell>
          <cell r="O31">
            <v>0</v>
          </cell>
        </row>
        <row r="32">
          <cell r="B32">
            <v>0</v>
          </cell>
          <cell r="C32">
            <v>41</v>
          </cell>
          <cell r="D32">
            <v>75.5</v>
          </cell>
          <cell r="E32">
            <v>0</v>
          </cell>
          <cell r="F32">
            <v>190</v>
          </cell>
          <cell r="G32">
            <v>0</v>
          </cell>
          <cell r="H32">
            <v>20</v>
          </cell>
          <cell r="I32">
            <v>8</v>
          </cell>
          <cell r="J32">
            <v>13.5</v>
          </cell>
          <cell r="K32">
            <v>0</v>
          </cell>
          <cell r="L32">
            <v>0</v>
          </cell>
          <cell r="M32">
            <v>12</v>
          </cell>
          <cell r="N32">
            <v>0</v>
          </cell>
          <cell r="O3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riffs Summary"/>
      <sheetName val="Mary"/>
      <sheetName val="Jerlyn"/>
      <sheetName val="Andy"/>
      <sheetName val="Alla"/>
      <sheetName val="Donna"/>
      <sheetName val="Kevin"/>
    </sheetNames>
    <sheetDataSet>
      <sheetData sheetId="0">
        <row r="9">
          <cell r="B9">
            <v>0</v>
          </cell>
          <cell r="C9">
            <v>30</v>
          </cell>
          <cell r="D9">
            <v>87</v>
          </cell>
          <cell r="E9">
            <v>0</v>
          </cell>
          <cell r="F9">
            <v>30.5</v>
          </cell>
          <cell r="G9">
            <v>1</v>
          </cell>
          <cell r="H9">
            <v>2</v>
          </cell>
          <cell r="I9">
            <v>0</v>
          </cell>
          <cell r="J9">
            <v>2</v>
          </cell>
          <cell r="K9">
            <v>2</v>
          </cell>
          <cell r="L9">
            <v>0</v>
          </cell>
          <cell r="M9">
            <v>2</v>
          </cell>
          <cell r="N9">
            <v>1</v>
          </cell>
          <cell r="O9">
            <v>7.5</v>
          </cell>
        </row>
        <row r="10">
          <cell r="B10">
            <v>0</v>
          </cell>
          <cell r="C10">
            <v>52.5</v>
          </cell>
          <cell r="D10">
            <v>37.5</v>
          </cell>
          <cell r="E10">
            <v>0</v>
          </cell>
          <cell r="F10">
            <v>45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7.5</v>
          </cell>
          <cell r="N10">
            <v>0</v>
          </cell>
          <cell r="O10">
            <v>22.5</v>
          </cell>
        </row>
        <row r="11">
          <cell r="B11">
            <v>0</v>
          </cell>
          <cell r="C11">
            <v>37.5</v>
          </cell>
          <cell r="D11">
            <v>0</v>
          </cell>
          <cell r="E11">
            <v>2</v>
          </cell>
          <cell r="F11">
            <v>86</v>
          </cell>
          <cell r="G11">
            <v>0</v>
          </cell>
          <cell r="H11">
            <v>5</v>
          </cell>
          <cell r="I11">
            <v>4</v>
          </cell>
          <cell r="J11">
            <v>13</v>
          </cell>
          <cell r="K11">
            <v>0</v>
          </cell>
          <cell r="L11">
            <v>2.5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35</v>
          </cell>
          <cell r="D12">
            <v>26</v>
          </cell>
          <cell r="E12">
            <v>2</v>
          </cell>
          <cell r="F12">
            <v>76</v>
          </cell>
          <cell r="G12">
            <v>5</v>
          </cell>
          <cell r="H12">
            <v>2</v>
          </cell>
          <cell r="I12">
            <v>2</v>
          </cell>
          <cell r="J12">
            <v>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75</v>
          </cell>
          <cell r="E13">
            <v>0</v>
          </cell>
          <cell r="F13">
            <v>71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31</v>
          </cell>
          <cell r="D14">
            <v>7.5</v>
          </cell>
          <cell r="E14">
            <v>0</v>
          </cell>
          <cell r="F14">
            <v>117.5</v>
          </cell>
          <cell r="G14">
            <v>0</v>
          </cell>
          <cell r="H14">
            <v>11</v>
          </cell>
          <cell r="I14">
            <v>1</v>
          </cell>
          <cell r="J14">
            <v>9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30</v>
          </cell>
          <cell r="D15">
            <v>15</v>
          </cell>
          <cell r="E15">
            <v>0</v>
          </cell>
          <cell r="F15">
            <v>97.5</v>
          </cell>
          <cell r="G15">
            <v>0</v>
          </cell>
          <cell r="H15">
            <v>0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15</v>
          </cell>
          <cell r="N15">
            <v>0</v>
          </cell>
          <cell r="O15">
            <v>2.5</v>
          </cell>
        </row>
        <row r="16">
          <cell r="B16">
            <v>0</v>
          </cell>
          <cell r="C16">
            <v>29.5</v>
          </cell>
          <cell r="D16">
            <v>0</v>
          </cell>
          <cell r="E16">
            <v>2</v>
          </cell>
          <cell r="F16">
            <v>82.5</v>
          </cell>
          <cell r="G16">
            <v>16</v>
          </cell>
          <cell r="H16">
            <v>4</v>
          </cell>
          <cell r="I16">
            <v>12.5</v>
          </cell>
          <cell r="J16">
            <v>6</v>
          </cell>
          <cell r="K16">
            <v>1.5</v>
          </cell>
          <cell r="L16">
            <v>2</v>
          </cell>
          <cell r="M16">
            <v>8</v>
          </cell>
          <cell r="N16">
            <v>0</v>
          </cell>
          <cell r="O16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 Summary"/>
      <sheetName val="Tyler"/>
      <sheetName val="Julie"/>
      <sheetName val="John"/>
      <sheetName val="Blank1"/>
      <sheetName val="Blank2"/>
    </sheetNames>
    <sheetDataSet>
      <sheetData sheetId="0">
        <row r="17">
          <cell r="B17">
            <v>0</v>
          </cell>
          <cell r="C17">
            <v>9.25</v>
          </cell>
          <cell r="D17">
            <v>0</v>
          </cell>
          <cell r="E17">
            <v>79.25</v>
          </cell>
          <cell r="F17">
            <v>67</v>
          </cell>
          <cell r="G17">
            <v>20.75</v>
          </cell>
          <cell r="H17">
            <v>59.25</v>
          </cell>
          <cell r="I17">
            <v>1.75</v>
          </cell>
          <cell r="J17">
            <v>0</v>
          </cell>
          <cell r="K17">
            <v>0</v>
          </cell>
          <cell r="L17">
            <v>0</v>
          </cell>
          <cell r="M17">
            <v>10.25</v>
          </cell>
          <cell r="N17">
            <v>0</v>
          </cell>
          <cell r="O17">
            <v>0</v>
          </cell>
        </row>
        <row r="18">
          <cell r="B18">
            <v>0</v>
          </cell>
          <cell r="C18">
            <v>4.25</v>
          </cell>
          <cell r="D18">
            <v>71</v>
          </cell>
          <cell r="E18">
            <v>67.25</v>
          </cell>
          <cell r="F18">
            <v>40</v>
          </cell>
          <cell r="G18">
            <v>60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>
            <v>0</v>
          </cell>
          <cell r="C19">
            <v>5.25</v>
          </cell>
          <cell r="D19">
            <v>7.5</v>
          </cell>
          <cell r="E19">
            <v>78.5</v>
          </cell>
          <cell r="F19">
            <v>37</v>
          </cell>
          <cell r="G19">
            <v>25</v>
          </cell>
          <cell r="H19">
            <v>71.75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>
            <v>0</v>
          </cell>
          <cell r="C20">
            <v>2.75</v>
          </cell>
          <cell r="D20">
            <v>28</v>
          </cell>
          <cell r="E20">
            <v>67</v>
          </cell>
          <cell r="F20">
            <v>0</v>
          </cell>
          <cell r="G20">
            <v>95.75</v>
          </cell>
          <cell r="H20">
            <v>54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>
            <v>0</v>
          </cell>
          <cell r="C21">
            <v>6.5</v>
          </cell>
          <cell r="D21">
            <v>22.5</v>
          </cell>
          <cell r="E21">
            <v>85.75</v>
          </cell>
          <cell r="F21">
            <v>31.75</v>
          </cell>
          <cell r="G21">
            <v>82.25</v>
          </cell>
          <cell r="H21">
            <v>10.5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8.25</v>
          </cell>
          <cell r="N21">
            <v>0</v>
          </cell>
          <cell r="O21">
            <v>0</v>
          </cell>
        </row>
        <row r="22">
          <cell r="B22">
            <v>0</v>
          </cell>
          <cell r="C22">
            <v>15</v>
          </cell>
          <cell r="D22">
            <v>45</v>
          </cell>
          <cell r="E22">
            <v>70.75</v>
          </cell>
          <cell r="F22">
            <v>72.5</v>
          </cell>
          <cell r="G22">
            <v>57.5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4.25</v>
          </cell>
          <cell r="N22">
            <v>0</v>
          </cell>
          <cell r="O22">
            <v>0</v>
          </cell>
        </row>
        <row r="23">
          <cell r="B23">
            <v>0</v>
          </cell>
          <cell r="C23">
            <v>12.25</v>
          </cell>
          <cell r="D23">
            <v>0</v>
          </cell>
          <cell r="E23">
            <v>74.75</v>
          </cell>
          <cell r="F23">
            <v>36.75</v>
          </cell>
          <cell r="G23">
            <v>85.25</v>
          </cell>
          <cell r="H23">
            <v>10.75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27.75</v>
          </cell>
          <cell r="N23">
            <v>0</v>
          </cell>
          <cell r="O23">
            <v>0</v>
          </cell>
        </row>
        <row r="24">
          <cell r="B24">
            <v>0</v>
          </cell>
          <cell r="C24">
            <v>15.25</v>
          </cell>
          <cell r="D24">
            <v>0</v>
          </cell>
          <cell r="E24">
            <v>50.25</v>
          </cell>
          <cell r="F24">
            <v>53.25</v>
          </cell>
          <cell r="G24">
            <v>93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13.25</v>
          </cell>
          <cell r="N24">
            <v>0</v>
          </cell>
          <cell r="O24">
            <v>0</v>
          </cell>
        </row>
        <row r="25">
          <cell r="B25">
            <v>0</v>
          </cell>
          <cell r="C25">
            <v>12.25</v>
          </cell>
          <cell r="D25">
            <v>82.5</v>
          </cell>
          <cell r="E25">
            <v>60</v>
          </cell>
          <cell r="F25">
            <v>0</v>
          </cell>
          <cell r="G25">
            <v>67.5</v>
          </cell>
          <cell r="H25">
            <v>0</v>
          </cell>
          <cell r="I25">
            <v>25.25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>
            <v>0</v>
          </cell>
          <cell r="C26">
            <v>7.5</v>
          </cell>
          <cell r="D26">
            <v>30</v>
          </cell>
          <cell r="E26">
            <v>45</v>
          </cell>
          <cell r="F26">
            <v>12.25</v>
          </cell>
          <cell r="G26">
            <v>82.5</v>
          </cell>
          <cell r="H26">
            <v>47.5</v>
          </cell>
          <cell r="I26">
            <v>12.75</v>
          </cell>
          <cell r="J26">
            <v>0</v>
          </cell>
          <cell r="K26">
            <v>0</v>
          </cell>
          <cell r="L26">
            <v>0</v>
          </cell>
          <cell r="M26">
            <v>10</v>
          </cell>
          <cell r="N26">
            <v>0</v>
          </cell>
          <cell r="O26">
            <v>0</v>
          </cell>
        </row>
        <row r="27">
          <cell r="B27">
            <v>0</v>
          </cell>
          <cell r="C27">
            <v>17.75</v>
          </cell>
          <cell r="D27">
            <v>11</v>
          </cell>
          <cell r="E27">
            <v>84.75</v>
          </cell>
          <cell r="F27">
            <v>0</v>
          </cell>
          <cell r="G27">
            <v>100.75</v>
          </cell>
          <cell r="H27">
            <v>10.75</v>
          </cell>
          <cell r="I27">
            <v>22.5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>
            <v>0</v>
          </cell>
          <cell r="C28">
            <v>2.25</v>
          </cell>
          <cell r="D28">
            <v>52.5</v>
          </cell>
          <cell r="E28">
            <v>83.5</v>
          </cell>
          <cell r="F28">
            <v>1.75</v>
          </cell>
          <cell r="G28">
            <v>10.75</v>
          </cell>
          <cell r="H28">
            <v>0</v>
          </cell>
          <cell r="I28">
            <v>39.25</v>
          </cell>
          <cell r="J28">
            <v>0</v>
          </cell>
          <cell r="K28">
            <v>0</v>
          </cell>
          <cell r="L28">
            <v>0</v>
          </cell>
          <cell r="M28">
            <v>80</v>
          </cell>
          <cell r="N28">
            <v>0</v>
          </cell>
          <cell r="O28">
            <v>0</v>
          </cell>
        </row>
        <row r="29">
          <cell r="B29">
            <v>0</v>
          </cell>
          <cell r="C29">
            <v>7.25</v>
          </cell>
          <cell r="D29">
            <v>40.5</v>
          </cell>
          <cell r="E29">
            <v>43.5</v>
          </cell>
          <cell r="F29">
            <v>41.25</v>
          </cell>
          <cell r="G29">
            <v>39.75</v>
          </cell>
          <cell r="H29">
            <v>7.25</v>
          </cell>
          <cell r="I29">
            <v>3.5</v>
          </cell>
          <cell r="J29">
            <v>0</v>
          </cell>
          <cell r="K29">
            <v>0</v>
          </cell>
          <cell r="L29">
            <v>0</v>
          </cell>
          <cell r="M29">
            <v>42</v>
          </cell>
          <cell r="N29">
            <v>0</v>
          </cell>
          <cell r="O29">
            <v>0</v>
          </cell>
        </row>
        <row r="30">
          <cell r="B30">
            <v>0</v>
          </cell>
          <cell r="C30">
            <v>8.25</v>
          </cell>
          <cell r="D30">
            <v>30</v>
          </cell>
          <cell r="E30">
            <v>50.5</v>
          </cell>
          <cell r="F30">
            <v>32</v>
          </cell>
          <cell r="G30">
            <v>52.5</v>
          </cell>
          <cell r="H30">
            <v>51.75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>
            <v>0</v>
          </cell>
          <cell r="C31">
            <v>6</v>
          </cell>
          <cell r="D31">
            <v>0</v>
          </cell>
          <cell r="E31">
            <v>27.5</v>
          </cell>
          <cell r="F31">
            <v>18</v>
          </cell>
          <cell r="G31">
            <v>69.75</v>
          </cell>
          <cell r="H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111.25</v>
          </cell>
          <cell r="N31">
            <v>0</v>
          </cell>
          <cell r="O31">
            <v>0</v>
          </cell>
        </row>
        <row r="32">
          <cell r="B32">
            <v>0</v>
          </cell>
          <cell r="C32">
            <v>3.25</v>
          </cell>
          <cell r="D32">
            <v>50.5</v>
          </cell>
          <cell r="E32">
            <v>51.5</v>
          </cell>
          <cell r="F32">
            <v>43</v>
          </cell>
          <cell r="G32">
            <v>42</v>
          </cell>
          <cell r="H32">
            <v>59.25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20.5</v>
          </cell>
          <cell r="N32">
            <v>0</v>
          </cell>
          <cell r="O3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 Summary"/>
      <sheetName val="Tyler"/>
      <sheetName val="Julie"/>
      <sheetName val="John"/>
      <sheetName val="Aufderheide"/>
      <sheetName val="UFAIII"/>
    </sheetNames>
    <sheetDataSet>
      <sheetData sheetId="0">
        <row r="9">
          <cell r="B9">
            <v>0</v>
          </cell>
          <cell r="C9">
            <v>10.25</v>
          </cell>
          <cell r="D9">
            <v>36.25</v>
          </cell>
          <cell r="E9">
            <v>88.25</v>
          </cell>
          <cell r="F9">
            <v>34.5</v>
          </cell>
          <cell r="G9">
            <v>11.75</v>
          </cell>
          <cell r="H9">
            <v>52.5</v>
          </cell>
          <cell r="I9">
            <v>11</v>
          </cell>
          <cell r="J9">
            <v>0</v>
          </cell>
          <cell r="K9">
            <v>0</v>
          </cell>
          <cell r="L9">
            <v>0</v>
          </cell>
          <cell r="M9">
            <v>3</v>
          </cell>
          <cell r="N9">
            <v>0</v>
          </cell>
          <cell r="O9">
            <v>0</v>
          </cell>
        </row>
        <row r="10">
          <cell r="B10">
            <v>0</v>
          </cell>
          <cell r="C10">
            <v>3.25</v>
          </cell>
          <cell r="D10">
            <v>33</v>
          </cell>
          <cell r="E10">
            <v>83.5</v>
          </cell>
          <cell r="F10">
            <v>10</v>
          </cell>
          <cell r="G10">
            <v>17.5</v>
          </cell>
          <cell r="H10">
            <v>76.25</v>
          </cell>
          <cell r="I10">
            <v>14</v>
          </cell>
          <cell r="J10">
            <v>0</v>
          </cell>
          <cell r="K10">
            <v>0</v>
          </cell>
          <cell r="L10">
            <v>0</v>
          </cell>
          <cell r="M10">
            <v>10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9.5</v>
          </cell>
          <cell r="D11">
            <v>0</v>
          </cell>
          <cell r="E11">
            <v>88.5</v>
          </cell>
          <cell r="F11">
            <v>2</v>
          </cell>
          <cell r="G11">
            <v>7.5</v>
          </cell>
          <cell r="H11">
            <v>131.25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5.25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20</v>
          </cell>
          <cell r="D12">
            <v>22.5</v>
          </cell>
          <cell r="E12">
            <v>76</v>
          </cell>
          <cell r="F12">
            <v>8</v>
          </cell>
          <cell r="G12">
            <v>18</v>
          </cell>
          <cell r="H12">
            <v>81.5</v>
          </cell>
          <cell r="I12">
            <v>3.5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18.5</v>
          </cell>
          <cell r="D13">
            <v>4</v>
          </cell>
          <cell r="E13">
            <v>45</v>
          </cell>
          <cell r="F13">
            <v>6</v>
          </cell>
          <cell r="G13">
            <v>24.5</v>
          </cell>
          <cell r="H13">
            <v>127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12.75</v>
          </cell>
          <cell r="D14">
            <v>34.5</v>
          </cell>
          <cell r="E14">
            <v>31.5</v>
          </cell>
          <cell r="F14">
            <v>7.5</v>
          </cell>
          <cell r="G14">
            <v>12</v>
          </cell>
          <cell r="H14">
            <v>165</v>
          </cell>
          <cell r="I14">
            <v>6.75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3</v>
          </cell>
          <cell r="D15">
            <v>34.5</v>
          </cell>
          <cell r="E15">
            <v>39.25</v>
          </cell>
          <cell r="F15">
            <v>7.75</v>
          </cell>
          <cell r="G15">
            <v>14.25</v>
          </cell>
          <cell r="H15">
            <v>148.75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11.75</v>
          </cell>
          <cell r="D16">
            <v>20</v>
          </cell>
          <cell r="E16">
            <v>62</v>
          </cell>
          <cell r="F16">
            <v>9</v>
          </cell>
          <cell r="G16">
            <v>29.5</v>
          </cell>
          <cell r="H16">
            <v>81.75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7.75</v>
          </cell>
          <cell r="N16">
            <v>0.75</v>
          </cell>
          <cell r="O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="85" zoomScaleNormal="85" zoomScaleSheetLayoutView="75" zoomScalePageLayoutView="0" workbookViewId="0" topLeftCell="A1">
      <pane ySplit="6" topLeftCell="BM16" activePane="bottomLeft" state="frozen"/>
      <selection pane="topLeft" activeCell="R17" sqref="R17"/>
      <selection pane="bottomLeft" activeCell="H31" sqref="H31"/>
    </sheetView>
  </sheetViews>
  <sheetFormatPr defaultColWidth="9.140625" defaultRowHeight="12.75"/>
  <cols>
    <col min="1" max="1" width="2.7109375" style="0" customWidth="1"/>
    <col min="2" max="2" width="63.8515625" style="21" customWidth="1"/>
    <col min="3" max="3" width="16.57421875" style="0" bestFit="1" customWidth="1"/>
    <col min="4" max="4" width="16.7109375" style="0" bestFit="1" customWidth="1"/>
    <col min="5" max="5" width="17.140625" style="0" bestFit="1" customWidth="1"/>
    <col min="6" max="6" width="14.28125" style="0" bestFit="1" customWidth="1"/>
    <col min="7" max="7" width="13.57421875" style="0" bestFit="1" customWidth="1"/>
    <col min="8" max="8" width="15.28125" style="0" bestFit="1" customWidth="1"/>
    <col min="9" max="9" width="14.28125" style="0" bestFit="1" customWidth="1"/>
    <col min="10" max="10" width="12.28125" style="0" bestFit="1" customWidth="1"/>
    <col min="11" max="11" width="16.00390625" style="0" bestFit="1" customWidth="1"/>
    <col min="12" max="12" width="15.140625" style="0" customWidth="1"/>
    <col min="13" max="13" width="49.7109375" style="0" hidden="1" customWidth="1"/>
    <col min="14" max="14" width="12.57421875" style="0" hidden="1" customWidth="1"/>
    <col min="15" max="15" width="9.140625" style="0" hidden="1" customWidth="1"/>
    <col min="16" max="17" width="10.57421875" style="0" bestFit="1" customWidth="1"/>
    <col min="20" max="20" width="23.28125" style="0" customWidth="1"/>
    <col min="22" max="22" width="9.28125" style="0" bestFit="1" customWidth="1"/>
  </cols>
  <sheetData>
    <row r="1" spans="1:24" s="16" customFormat="1" ht="14.25">
      <c r="A1" s="104" t="s">
        <v>201</v>
      </c>
      <c r="B1" s="105"/>
      <c r="C1" s="105"/>
      <c r="D1" s="105"/>
      <c r="E1" s="104" t="s">
        <v>25</v>
      </c>
      <c r="F1" s="105"/>
      <c r="G1" s="105"/>
      <c r="H1" s="105"/>
      <c r="I1" s="106"/>
      <c r="J1" s="106"/>
      <c r="K1" s="106"/>
      <c r="L1" s="106"/>
      <c r="M1"/>
      <c r="N1"/>
      <c r="O1"/>
      <c r="P1"/>
      <c r="Q1"/>
      <c r="R1"/>
      <c r="S1"/>
      <c r="T1"/>
      <c r="U1"/>
      <c r="V1"/>
      <c r="W1"/>
      <c r="X1"/>
    </row>
    <row r="2" spans="1:24" s="16" customFormat="1" ht="14.25">
      <c r="A2" s="104" t="s">
        <v>126</v>
      </c>
      <c r="B2" s="105"/>
      <c r="C2" s="105"/>
      <c r="D2" s="105"/>
      <c r="E2" s="104" t="s">
        <v>25</v>
      </c>
      <c r="F2" s="105"/>
      <c r="G2" s="105"/>
      <c r="H2" s="105"/>
      <c r="I2" s="106"/>
      <c r="J2" s="106"/>
      <c r="K2" s="106"/>
      <c r="L2" s="106"/>
      <c r="M2"/>
      <c r="N2"/>
      <c r="O2"/>
      <c r="P2"/>
      <c r="Q2"/>
      <c r="R2"/>
      <c r="S2"/>
      <c r="T2"/>
      <c r="U2"/>
      <c r="V2"/>
      <c r="W2"/>
      <c r="X2"/>
    </row>
    <row r="3" spans="1:12" ht="15">
      <c r="A3" s="106"/>
      <c r="B3" s="90"/>
      <c r="C3" s="107"/>
      <c r="D3" s="107"/>
      <c r="E3" s="107"/>
      <c r="F3" s="107" t="s">
        <v>11</v>
      </c>
      <c r="G3" s="107"/>
      <c r="H3" s="296" t="s">
        <v>41</v>
      </c>
      <c r="I3" s="296"/>
      <c r="J3" s="107"/>
      <c r="K3" s="107"/>
      <c r="L3" s="107" t="s">
        <v>40</v>
      </c>
    </row>
    <row r="4" spans="1:12" ht="15">
      <c r="A4" s="106"/>
      <c r="B4" s="90"/>
      <c r="C4" s="107" t="s">
        <v>23</v>
      </c>
      <c r="D4" s="108" t="s">
        <v>14</v>
      </c>
      <c r="E4" s="108" t="s">
        <v>15</v>
      </c>
      <c r="F4" s="108" t="s">
        <v>16</v>
      </c>
      <c r="G4" s="108" t="s">
        <v>17</v>
      </c>
      <c r="H4" s="108" t="s">
        <v>18</v>
      </c>
      <c r="I4" s="108" t="s">
        <v>19</v>
      </c>
      <c r="J4" s="108" t="s">
        <v>20</v>
      </c>
      <c r="K4" s="108" t="s">
        <v>21</v>
      </c>
      <c r="L4" s="108" t="s">
        <v>22</v>
      </c>
    </row>
    <row r="5" spans="1:12" ht="14.25">
      <c r="A5" s="106"/>
      <c r="B5" s="270"/>
      <c r="C5" s="106"/>
      <c r="D5" s="106"/>
      <c r="E5" s="106"/>
      <c r="F5" s="106"/>
      <c r="G5" s="106"/>
      <c r="H5" s="106"/>
      <c r="I5" s="250"/>
      <c r="J5" s="106"/>
      <c r="K5" s="106"/>
      <c r="L5" s="201"/>
    </row>
    <row r="6" spans="1:14" ht="59.25" customHeight="1">
      <c r="A6" s="109" t="s">
        <v>420</v>
      </c>
      <c r="B6" s="90"/>
      <c r="C6" s="110">
        <f>SUM(D6:L6)</f>
        <v>1128806504.4079337</v>
      </c>
      <c r="D6" s="271">
        <f>'Appendix C'!M32</f>
        <v>330249427.40793383</v>
      </c>
      <c r="E6" s="111">
        <v>314095536</v>
      </c>
      <c r="F6" s="111">
        <v>104184954</v>
      </c>
      <c r="G6" s="111">
        <v>53699865</v>
      </c>
      <c r="H6" s="251">
        <v>114976325</v>
      </c>
      <c r="I6" s="253">
        <v>43946351</v>
      </c>
      <c r="J6" s="252">
        <v>1731582</v>
      </c>
      <c r="K6" s="111">
        <v>152420287</v>
      </c>
      <c r="L6" s="297">
        <v>13502177</v>
      </c>
      <c r="M6" s="298"/>
      <c r="N6" s="298"/>
    </row>
    <row r="7" spans="1:14" ht="14.25">
      <c r="A7" s="106"/>
      <c r="B7" s="90"/>
      <c r="C7" s="245"/>
      <c r="D7" s="248"/>
      <c r="E7" s="246"/>
      <c r="F7" s="246"/>
      <c r="G7" s="246"/>
      <c r="H7" s="246"/>
      <c r="I7" s="246"/>
      <c r="J7" s="247"/>
      <c r="K7" s="246"/>
      <c r="L7" s="299"/>
      <c r="M7" s="299"/>
      <c r="N7" s="299"/>
    </row>
    <row r="8" spans="1:13" ht="14.25">
      <c r="A8" s="90" t="s">
        <v>207</v>
      </c>
      <c r="B8" s="90"/>
      <c r="C8" s="113"/>
      <c r="D8" s="127"/>
      <c r="E8" s="127"/>
      <c r="F8" s="127"/>
      <c r="G8" s="127"/>
      <c r="H8" s="127"/>
      <c r="I8" s="127"/>
      <c r="J8" s="127"/>
      <c r="K8" s="127"/>
      <c r="L8" s="127"/>
      <c r="M8" s="134"/>
    </row>
    <row r="9" spans="1:12" ht="14.25">
      <c r="A9" s="90"/>
      <c r="B9" s="90" t="s">
        <v>238</v>
      </c>
      <c r="C9" s="189">
        <v>8179600</v>
      </c>
      <c r="D9" s="127"/>
      <c r="E9" s="127"/>
      <c r="F9" s="127"/>
      <c r="G9" s="127"/>
      <c r="H9" s="127"/>
      <c r="I9" s="127"/>
      <c r="J9" s="127"/>
      <c r="K9" s="127"/>
      <c r="L9" s="127"/>
    </row>
    <row r="10" spans="1:20" ht="14.25">
      <c r="A10" s="90"/>
      <c r="B10" s="132" t="s">
        <v>208</v>
      </c>
      <c r="C10" s="113">
        <f>SUM(C9:C9)</f>
        <v>8179600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34"/>
      <c r="T10" s="278"/>
    </row>
    <row r="11" spans="1:20" s="19" customFormat="1" ht="14.25">
      <c r="A11" s="234" t="s">
        <v>422</v>
      </c>
      <c r="B11" s="234"/>
      <c r="C11" s="121">
        <f>'Appendix D'!F45</f>
        <v>-19263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T11" s="278"/>
    </row>
    <row r="12" spans="1:13" ht="14.25">
      <c r="A12" s="90" t="s">
        <v>129</v>
      </c>
      <c r="B12" s="90"/>
      <c r="C12" s="128">
        <v>0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34"/>
    </row>
    <row r="13" spans="1:13" ht="14.25">
      <c r="A13" s="90"/>
      <c r="B13" s="90"/>
      <c r="C13" s="133"/>
      <c r="D13" s="127"/>
      <c r="E13" s="127"/>
      <c r="F13" s="127"/>
      <c r="G13" s="127"/>
      <c r="H13" s="127"/>
      <c r="I13" s="127"/>
      <c r="J13" s="127"/>
      <c r="K13" s="127"/>
      <c r="L13" s="127"/>
      <c r="M13" s="134"/>
    </row>
    <row r="14" spans="1:20" ht="14.25">
      <c r="A14" s="90" t="s">
        <v>130</v>
      </c>
      <c r="B14" s="90"/>
      <c r="C14" s="121">
        <f>+C10+C11+C12</f>
        <v>8160337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34"/>
      <c r="T14" s="290"/>
    </row>
    <row r="15" spans="1:13" s="19" customFormat="1" ht="14.25">
      <c r="A15" s="234" t="s">
        <v>421</v>
      </c>
      <c r="B15" s="234"/>
      <c r="C15" s="121">
        <f>-SUM(D15:L15)</f>
        <v>-197167.26</v>
      </c>
      <c r="D15" s="237">
        <f>'Appendix E'!D202</f>
        <v>7684.740000000001</v>
      </c>
      <c r="E15" s="237">
        <f>'Appendix E'!D205</f>
        <v>5171.94</v>
      </c>
      <c r="F15" s="237">
        <f>'Appendix E'!D204</f>
        <v>20710.91</v>
      </c>
      <c r="G15" s="237">
        <f>'Appendix E'!D206</f>
        <v>0</v>
      </c>
      <c r="H15" s="237">
        <f>'Appendix E'!D199</f>
        <v>49369.380000000005</v>
      </c>
      <c r="I15" s="237">
        <f>'Appendix E'!D200</f>
        <v>0</v>
      </c>
      <c r="J15" s="237"/>
      <c r="K15" s="237">
        <f>'Appendix E'!D203</f>
        <v>114230.29</v>
      </c>
      <c r="L15" s="238"/>
      <c r="M15" s="236">
        <v>0</v>
      </c>
    </row>
    <row r="16" spans="1:13" s="19" customFormat="1" ht="14.25">
      <c r="A16" s="234" t="s">
        <v>177</v>
      </c>
      <c r="B16" s="234"/>
      <c r="C16" s="121">
        <f>-K16</f>
        <v>-182089</v>
      </c>
      <c r="D16" s="237"/>
      <c r="E16" s="237"/>
      <c r="F16" s="237"/>
      <c r="G16" s="237"/>
      <c r="H16" s="237"/>
      <c r="I16" s="237"/>
      <c r="J16" s="237"/>
      <c r="K16" s="237">
        <f>(149516*0.25)+144710</f>
        <v>182089</v>
      </c>
      <c r="L16" s="238"/>
      <c r="M16" s="236"/>
    </row>
    <row r="17" spans="1:13" s="19" customFormat="1" ht="14.25">
      <c r="A17" s="234" t="s">
        <v>131</v>
      </c>
      <c r="B17" s="234"/>
      <c r="C17" s="244">
        <f>SUM(C14:C16)</f>
        <v>7781080.74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>
        <v>0</v>
      </c>
    </row>
    <row r="18" spans="1:13" ht="14.25">
      <c r="A18" s="109" t="s">
        <v>255</v>
      </c>
      <c r="B18" s="90"/>
      <c r="C18" s="114">
        <f>SUM(D18:L18)</f>
        <v>0.9999999999999999</v>
      </c>
      <c r="D18" s="122">
        <f>'Appendix F'!F33</f>
        <v>0.2557329208394463</v>
      </c>
      <c r="E18" s="122">
        <f>'Appendix F'!G33</f>
        <v>0.09436595011800726</v>
      </c>
      <c r="F18" s="122">
        <f>'Appendix F'!H33</f>
        <v>0.1410771618719568</v>
      </c>
      <c r="G18" s="122">
        <f>'Appendix F'!I33</f>
        <v>0.03011311688035551</v>
      </c>
      <c r="H18" s="122">
        <f>'Appendix F'!J33</f>
        <v>0.31892927005592053</v>
      </c>
      <c r="I18" s="122">
        <f>'Appendix F'!K33</f>
        <v>0.09725633093066274</v>
      </c>
      <c r="J18" s="122">
        <f>'Appendix F'!L33</f>
        <v>0.002312304650124386</v>
      </c>
      <c r="K18" s="122">
        <f>'Appendix F'!M33</f>
        <v>0.05764814696689417</v>
      </c>
      <c r="L18" s="122">
        <f>'Appendix F'!N33</f>
        <v>0.0025647976866322213</v>
      </c>
      <c r="M18" s="134">
        <v>750000</v>
      </c>
    </row>
    <row r="19" spans="1:13" ht="14.25">
      <c r="A19" s="90" t="s">
        <v>132</v>
      </c>
      <c r="B19" s="90"/>
      <c r="C19" s="114"/>
      <c r="D19" s="111">
        <f aca="true" t="shared" si="0" ref="D19:L19">+$C17*D18</f>
        <v>1989878.5049277605</v>
      </c>
      <c r="E19" s="111">
        <f t="shared" si="0"/>
        <v>734269.0769750271</v>
      </c>
      <c r="F19" s="111">
        <f t="shared" si="0"/>
        <v>1097732.7870957453</v>
      </c>
      <c r="G19" s="111">
        <f t="shared" si="0"/>
        <v>234312.59377910313</v>
      </c>
      <c r="H19" s="111">
        <f t="shared" si="0"/>
        <v>2481614.400654382</v>
      </c>
      <c r="I19" s="111">
        <f t="shared" si="0"/>
        <v>756759.3634476461</v>
      </c>
      <c r="J19" s="111">
        <f t="shared" si="0"/>
        <v>17992.2291780953</v>
      </c>
      <c r="K19" s="111">
        <f t="shared" si="0"/>
        <v>448564.8860607897</v>
      </c>
      <c r="L19" s="111">
        <f t="shared" si="0"/>
        <v>19956.89788145053</v>
      </c>
      <c r="M19" s="134">
        <v>1350000</v>
      </c>
    </row>
    <row r="20" spans="1:13" ht="14.25">
      <c r="A20" s="106"/>
      <c r="B20" s="90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34" t="e">
        <f>+#REF!</f>
        <v>#REF!</v>
      </c>
    </row>
    <row r="21" spans="1:13" ht="14.25">
      <c r="A21" s="90" t="s">
        <v>133</v>
      </c>
      <c r="B21" s="90"/>
      <c r="C21" s="113">
        <f>SUM(D21:L21)</f>
        <v>8160337</v>
      </c>
      <c r="D21" s="117">
        <f>+D19+D16+D15</f>
        <v>1997563.2449277604</v>
      </c>
      <c r="E21" s="117">
        <f aca="true" t="shared" si="1" ref="E21:L21">+E19+E16+E15</f>
        <v>739441.016975027</v>
      </c>
      <c r="F21" s="117">
        <f t="shared" si="1"/>
        <v>1118443.6970957452</v>
      </c>
      <c r="G21" s="117">
        <f t="shared" si="1"/>
        <v>234312.59377910313</v>
      </c>
      <c r="H21" s="117">
        <f t="shared" si="1"/>
        <v>2530983.780654382</v>
      </c>
      <c r="I21" s="117">
        <f t="shared" si="1"/>
        <v>756759.3634476461</v>
      </c>
      <c r="J21" s="117">
        <f t="shared" si="1"/>
        <v>17992.2291780953</v>
      </c>
      <c r="K21" s="117">
        <f t="shared" si="1"/>
        <v>744884.1760607897</v>
      </c>
      <c r="L21" s="117">
        <f t="shared" si="1"/>
        <v>19956.89788145053</v>
      </c>
      <c r="M21" s="134" t="e">
        <f>+M20-SUM(AWWU)</f>
        <v>#REF!</v>
      </c>
    </row>
    <row r="22" spans="1:13" ht="14.25">
      <c r="A22" s="90" t="s">
        <v>134</v>
      </c>
      <c r="B22" s="90"/>
      <c r="C22" s="118">
        <f>SUM(D22:L22)</f>
        <v>0.9999999999999998</v>
      </c>
      <c r="D22" s="119">
        <f aca="true" t="shared" si="2" ref="D22:L22">+D21/$C21</f>
        <v>0.2447893077121399</v>
      </c>
      <c r="E22" s="119">
        <f t="shared" si="2"/>
        <v>0.0906140294175384</v>
      </c>
      <c r="F22" s="119">
        <f t="shared" si="2"/>
        <v>0.13705851818322518</v>
      </c>
      <c r="G22" s="119">
        <f t="shared" si="2"/>
        <v>0.02871359280616758</v>
      </c>
      <c r="H22" s="119">
        <f t="shared" si="2"/>
        <v>0.31015677179194706</v>
      </c>
      <c r="I22" s="119">
        <f t="shared" si="2"/>
        <v>0.09273628815178174</v>
      </c>
      <c r="J22" s="119">
        <f t="shared" si="2"/>
        <v>0.002204838988646584</v>
      </c>
      <c r="K22" s="119">
        <f t="shared" si="2"/>
        <v>0.09128105567953747</v>
      </c>
      <c r="L22" s="119">
        <f t="shared" si="2"/>
        <v>0.0024455972690160385</v>
      </c>
      <c r="M22" s="18">
        <v>0</v>
      </c>
    </row>
    <row r="23" spans="1:13" ht="14.25">
      <c r="A23" s="90"/>
      <c r="B23" s="90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8">
        <v>0</v>
      </c>
    </row>
    <row r="24" spans="1:15" ht="18.75">
      <c r="A24" s="106" t="s">
        <v>135</v>
      </c>
      <c r="B24" s="106"/>
      <c r="C24" s="113"/>
      <c r="D24" s="106"/>
      <c r="E24" s="106"/>
      <c r="F24" s="106"/>
      <c r="G24" s="106"/>
      <c r="H24" s="106"/>
      <c r="I24" s="106"/>
      <c r="J24" s="106"/>
      <c r="K24" s="106"/>
      <c r="L24" s="106"/>
      <c r="M24" s="145" t="s">
        <v>0</v>
      </c>
      <c r="N24" s="142">
        <f>+D41</f>
        <v>0.00043176588854531585</v>
      </c>
      <c r="O24" s="106" t="s">
        <v>7</v>
      </c>
    </row>
    <row r="25" spans="1:15" ht="15">
      <c r="A25" s="106" t="s">
        <v>326</v>
      </c>
      <c r="C25" s="113"/>
      <c r="D25" s="106"/>
      <c r="E25" s="106"/>
      <c r="F25" s="106"/>
      <c r="G25" s="106"/>
      <c r="H25" s="106"/>
      <c r="I25" s="106"/>
      <c r="J25" s="106"/>
      <c r="K25" s="106"/>
      <c r="L25" s="106"/>
      <c r="M25" s="145"/>
      <c r="N25" s="142"/>
      <c r="O25" s="106"/>
    </row>
    <row r="26" spans="2:15" ht="15">
      <c r="B26" s="90" t="s">
        <v>325</v>
      </c>
      <c r="C26" s="110">
        <f>MIN(C21,(C6*0.007))</f>
        <v>7901645.530855536</v>
      </c>
      <c r="D26" s="110">
        <f aca="true" t="shared" si="3" ref="D26:L26">+$C26*D22</f>
        <v>1934238.3392848508</v>
      </c>
      <c r="E26" s="110">
        <f t="shared" si="3"/>
        <v>715999.9405799045</v>
      </c>
      <c r="F26" s="110">
        <f t="shared" si="3"/>
        <v>1082987.8276681635</v>
      </c>
      <c r="G26" s="110">
        <f t="shared" si="3"/>
        <v>226884.63227165974</v>
      </c>
      <c r="H26" s="110">
        <f t="shared" si="3"/>
        <v>2450748.869694419</v>
      </c>
      <c r="I26" s="110">
        <f t="shared" si="3"/>
        <v>732769.2768226574</v>
      </c>
      <c r="J26" s="110">
        <f t="shared" si="3"/>
        <v>17421.85614089532</v>
      </c>
      <c r="K26" s="110">
        <f t="shared" si="3"/>
        <v>721270.5456619926</v>
      </c>
      <c r="L26" s="110">
        <f t="shared" si="3"/>
        <v>19324.242730993086</v>
      </c>
      <c r="M26" s="145" t="s">
        <v>1</v>
      </c>
      <c r="N26" s="141">
        <f>+E41</f>
        <v>0.003499820069330449</v>
      </c>
      <c r="O26" s="106"/>
    </row>
    <row r="27" spans="1:15" ht="15">
      <c r="A27" s="106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45"/>
      <c r="N27" s="141"/>
      <c r="O27" s="106"/>
    </row>
    <row r="28" spans="1:15" ht="15">
      <c r="A28" s="106"/>
      <c r="B28" s="162" t="s">
        <v>324</v>
      </c>
      <c r="C28" s="121">
        <f>(C6*0.007)-C21</f>
        <v>-258691.46914446354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45" t="s">
        <v>2</v>
      </c>
      <c r="N28" s="141">
        <f>+F41</f>
        <v>0.01457962910525606</v>
      </c>
      <c r="O28" s="106"/>
    </row>
    <row r="29" spans="1:15" ht="15">
      <c r="A29" s="106"/>
      <c r="B29" s="90"/>
      <c r="C29" s="119"/>
      <c r="D29" s="112"/>
      <c r="E29" s="112"/>
      <c r="F29" s="112"/>
      <c r="G29" s="112"/>
      <c r="H29" s="112"/>
      <c r="I29" s="112"/>
      <c r="J29" s="112"/>
      <c r="K29" s="112"/>
      <c r="L29" s="112"/>
      <c r="M29" s="145" t="s">
        <v>84</v>
      </c>
      <c r="N29" s="141">
        <f>+G41</f>
        <v>0.006740600786829907</v>
      </c>
      <c r="O29" s="106"/>
    </row>
    <row r="30" spans="1:16" s="168" customFormat="1" ht="15">
      <c r="A30" s="234"/>
      <c r="B30" s="234" t="s">
        <v>138</v>
      </c>
      <c r="C30" s="239">
        <v>1536800</v>
      </c>
      <c r="D30" s="240">
        <v>384695</v>
      </c>
      <c r="E30" s="240">
        <v>383321</v>
      </c>
      <c r="F30" s="240">
        <v>435940</v>
      </c>
      <c r="G30" s="240">
        <v>135113</v>
      </c>
      <c r="H30" s="240">
        <v>158724</v>
      </c>
      <c r="I30" s="240">
        <v>20543</v>
      </c>
      <c r="J30" s="240" t="s">
        <v>315</v>
      </c>
      <c r="K30" s="240">
        <v>18465</v>
      </c>
      <c r="L30" s="240" t="s">
        <v>315</v>
      </c>
      <c r="M30" s="241" t="s">
        <v>3</v>
      </c>
      <c r="N30" s="242">
        <f>+H41</f>
        <v>0.022695979452243054</v>
      </c>
      <c r="O30" s="234"/>
      <c r="P30" s="243"/>
    </row>
    <row r="31" spans="1:17" ht="15">
      <c r="A31" s="90"/>
      <c r="B31" s="90" t="s">
        <v>316</v>
      </c>
      <c r="C31" s="118">
        <v>1</v>
      </c>
      <c r="D31" s="119">
        <v>0.2503</v>
      </c>
      <c r="E31" s="119">
        <v>0.2494</v>
      </c>
      <c r="F31" s="119">
        <v>0.2837</v>
      </c>
      <c r="G31" s="119">
        <v>0.0879</v>
      </c>
      <c r="H31" s="119">
        <v>0.1033</v>
      </c>
      <c r="I31" s="119">
        <v>0.0134</v>
      </c>
      <c r="J31" s="122">
        <v>0</v>
      </c>
      <c r="K31" s="122">
        <v>0.012</v>
      </c>
      <c r="L31" s="122">
        <v>0</v>
      </c>
      <c r="M31" s="145" t="s">
        <v>4</v>
      </c>
      <c r="N31" s="141">
        <f>+I41</f>
        <v>0.017142774762406495</v>
      </c>
      <c r="P31" s="184"/>
      <c r="Q31" s="184"/>
    </row>
    <row r="32" spans="1:14" ht="15">
      <c r="A32" s="106"/>
      <c r="B32" s="9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5" t="s">
        <v>5</v>
      </c>
      <c r="N32" s="141">
        <f>+J41</f>
        <v>0.010061236569157753</v>
      </c>
    </row>
    <row r="33" spans="1:14" ht="18.75">
      <c r="A33" s="106" t="s">
        <v>136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45" t="s">
        <v>80</v>
      </c>
      <c r="N33" s="141">
        <f>+K41</f>
        <v>0.004853108206402949</v>
      </c>
    </row>
    <row r="34" spans="1:17" ht="15">
      <c r="A34" s="106" t="s">
        <v>139</v>
      </c>
      <c r="B34" s="106"/>
      <c r="C34" s="110">
        <f>MIN(C30,(C6*0.0017))</f>
        <v>1536800</v>
      </c>
      <c r="D34" s="111">
        <f aca="true" t="shared" si="4" ref="D34:L34">+D31*$C$34</f>
        <v>384661.04000000004</v>
      </c>
      <c r="E34" s="111">
        <f t="shared" si="4"/>
        <v>383277.92000000004</v>
      </c>
      <c r="F34" s="111">
        <f t="shared" si="4"/>
        <v>435990.16000000003</v>
      </c>
      <c r="G34" s="111">
        <f t="shared" si="4"/>
        <v>135084.72</v>
      </c>
      <c r="H34" s="111">
        <f t="shared" si="4"/>
        <v>158751.44</v>
      </c>
      <c r="I34" s="111">
        <f t="shared" si="4"/>
        <v>20593.12</v>
      </c>
      <c r="J34" s="111">
        <f t="shared" si="4"/>
        <v>0</v>
      </c>
      <c r="K34" s="111">
        <f t="shared" si="4"/>
        <v>18441.600000000002</v>
      </c>
      <c r="L34" s="111">
        <f t="shared" si="4"/>
        <v>0</v>
      </c>
      <c r="M34" s="145" t="s">
        <v>6</v>
      </c>
      <c r="N34" s="141">
        <f>+L41</f>
        <v>0.0014311945941008688</v>
      </c>
      <c r="Q34" s="135"/>
    </row>
    <row r="35" spans="3:12" ht="14.25"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2" ht="19.5" thickBot="1">
      <c r="A36" s="123" t="s">
        <v>137</v>
      </c>
      <c r="C36" s="124">
        <f aca="true" t="shared" si="5" ref="C36:L36">+C26+C34</f>
        <v>9438445.530855536</v>
      </c>
      <c r="D36" s="124">
        <f t="shared" si="5"/>
        <v>2318899.379284851</v>
      </c>
      <c r="E36" s="124">
        <f t="shared" si="5"/>
        <v>1099277.8605799046</v>
      </c>
      <c r="F36" s="124">
        <f t="shared" si="5"/>
        <v>1518977.9876681636</v>
      </c>
      <c r="G36" s="124">
        <f t="shared" si="5"/>
        <v>361969.35227165977</v>
      </c>
      <c r="H36" s="124">
        <f t="shared" si="5"/>
        <v>2609500.309694419</v>
      </c>
      <c r="I36" s="124">
        <f t="shared" si="5"/>
        <v>753362.3968226574</v>
      </c>
      <c r="J36" s="124">
        <f t="shared" si="5"/>
        <v>17421.85614089532</v>
      </c>
      <c r="K36" s="124">
        <f t="shared" si="5"/>
        <v>739712.1456619926</v>
      </c>
      <c r="L36" s="124">
        <f t="shared" si="5"/>
        <v>19324.242730993086</v>
      </c>
    </row>
    <row r="37" spans="1:14" ht="15.75" thickTop="1">
      <c r="A37" s="106"/>
      <c r="B37" s="106"/>
      <c r="M37" s="145" t="s">
        <v>0</v>
      </c>
      <c r="N37" s="157">
        <f>+D15</f>
        <v>7684.740000000001</v>
      </c>
    </row>
    <row r="38" spans="1:14" ht="15">
      <c r="A38" s="106" t="s">
        <v>322</v>
      </c>
      <c r="B38" s="106"/>
      <c r="C38" s="106"/>
      <c r="D38" s="249">
        <v>5370733170</v>
      </c>
      <c r="E38" s="106"/>
      <c r="F38" s="106"/>
      <c r="G38" s="106"/>
      <c r="H38" s="106"/>
      <c r="I38" s="106"/>
      <c r="J38" s="106"/>
      <c r="K38" s="106"/>
      <c r="L38" s="106"/>
      <c r="M38" s="145" t="s">
        <v>1</v>
      </c>
      <c r="N38" s="157">
        <f>+E15</f>
        <v>5171.94</v>
      </c>
    </row>
    <row r="39" spans="1:14" ht="15">
      <c r="A39" s="106"/>
      <c r="B39" s="106"/>
      <c r="C39" s="106"/>
      <c r="D39" s="117"/>
      <c r="E39" s="106"/>
      <c r="F39" s="106"/>
      <c r="G39" s="106"/>
      <c r="H39" s="106"/>
      <c r="I39" s="106"/>
      <c r="J39" s="106"/>
      <c r="K39" s="106"/>
      <c r="L39" s="106"/>
      <c r="M39" s="145" t="s">
        <v>2</v>
      </c>
      <c r="N39" s="157">
        <f>+F15</f>
        <v>20710.91</v>
      </c>
    </row>
    <row r="40" spans="1:14" ht="18.75">
      <c r="A40" s="106" t="s">
        <v>148</v>
      </c>
      <c r="B40" s="106"/>
      <c r="C40" s="106"/>
      <c r="D40" s="117"/>
      <c r="E40" s="106"/>
      <c r="F40" s="106"/>
      <c r="G40" s="106"/>
      <c r="H40" s="106"/>
      <c r="I40" s="106"/>
      <c r="J40" s="106"/>
      <c r="K40" s="106"/>
      <c r="L40" s="106"/>
      <c r="M40" s="145" t="s">
        <v>84</v>
      </c>
      <c r="N40" s="157">
        <f>+G15</f>
        <v>0</v>
      </c>
    </row>
    <row r="41" spans="2:14" ht="15">
      <c r="B41" s="136" t="s">
        <v>149</v>
      </c>
      <c r="C41" s="129"/>
      <c r="D41" s="202">
        <f>+D36/D38</f>
        <v>0.00043176588854531585</v>
      </c>
      <c r="E41" s="129">
        <f aca="true" t="shared" si="6" ref="E41:L41">+E36/E6</f>
        <v>0.003499820069330449</v>
      </c>
      <c r="F41" s="129">
        <f t="shared" si="6"/>
        <v>0.01457962910525606</v>
      </c>
      <c r="G41" s="129">
        <f t="shared" si="6"/>
        <v>0.006740600786829907</v>
      </c>
      <c r="H41" s="129">
        <f t="shared" si="6"/>
        <v>0.022695979452243054</v>
      </c>
      <c r="I41" s="129">
        <f t="shared" si="6"/>
        <v>0.017142774762406495</v>
      </c>
      <c r="J41" s="129">
        <f t="shared" si="6"/>
        <v>0.010061236569157753</v>
      </c>
      <c r="K41" s="129">
        <f t="shared" si="6"/>
        <v>0.004853108206402949</v>
      </c>
      <c r="L41" s="129">
        <f t="shared" si="6"/>
        <v>0.0014311945941008688</v>
      </c>
      <c r="M41" s="145" t="s">
        <v>3</v>
      </c>
      <c r="N41" s="157">
        <f>+H15</f>
        <v>49369.380000000005</v>
      </c>
    </row>
    <row r="42" spans="1:14" ht="1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45" t="s">
        <v>4</v>
      </c>
      <c r="N42" s="157">
        <f>+I15</f>
        <v>0</v>
      </c>
    </row>
    <row r="43" spans="1:14" ht="15">
      <c r="A43" s="106" t="s">
        <v>423</v>
      </c>
      <c r="E43" s="106"/>
      <c r="F43" s="106"/>
      <c r="G43" s="106"/>
      <c r="H43" s="106"/>
      <c r="I43" s="106"/>
      <c r="J43" s="106"/>
      <c r="K43" s="106"/>
      <c r="L43" s="106"/>
      <c r="M43" s="145" t="s">
        <v>80</v>
      </c>
      <c r="N43" s="135">
        <f>+K15</f>
        <v>114230.29</v>
      </c>
    </row>
    <row r="44" spans="1:13" ht="15">
      <c r="A44" s="90"/>
      <c r="B44" s="90"/>
      <c r="E44" s="106"/>
      <c r="F44" s="106"/>
      <c r="G44" s="106"/>
      <c r="H44" s="106"/>
      <c r="I44" s="106"/>
      <c r="J44" s="106"/>
      <c r="K44" s="106"/>
      <c r="L44" s="106"/>
      <c r="M44" s="145"/>
    </row>
    <row r="45" spans="1:14" ht="14.25">
      <c r="A45" s="90"/>
      <c r="M45" s="90" t="s">
        <v>173</v>
      </c>
      <c r="N45" s="135">
        <f>+C6</f>
        <v>1128806504.4079337</v>
      </c>
    </row>
    <row r="46" spans="1:14" ht="14.25">
      <c r="A46" s="90"/>
      <c r="D46" s="117"/>
      <c r="M46" s="106" t="s">
        <v>175</v>
      </c>
      <c r="N46" s="159">
        <v>0.007</v>
      </c>
    </row>
    <row r="47" spans="13:14" ht="14.25">
      <c r="M47" s="106" t="s">
        <v>172</v>
      </c>
      <c r="N47" s="160">
        <f>+C26</f>
        <v>7901645.530855536</v>
      </c>
    </row>
    <row r="48" ht="12.75">
      <c r="M48" s="21"/>
    </row>
    <row r="49" spans="1:14" ht="14.25">
      <c r="A49" s="90"/>
      <c r="E49" s="106"/>
      <c r="F49" s="106"/>
      <c r="G49" s="106"/>
      <c r="H49" s="106"/>
      <c r="I49" s="106"/>
      <c r="J49" s="106"/>
      <c r="K49" s="106"/>
      <c r="L49" s="106"/>
      <c r="M49" s="90" t="s">
        <v>153</v>
      </c>
      <c r="N49" s="135">
        <f>+C9</f>
        <v>8179600</v>
      </c>
    </row>
    <row r="50" spans="1:14" ht="14.25">
      <c r="A50" s="143"/>
      <c r="E50" s="106"/>
      <c r="F50" s="106"/>
      <c r="G50" s="106"/>
      <c r="H50" s="106"/>
      <c r="I50" s="106"/>
      <c r="J50" s="106"/>
      <c r="K50" s="106"/>
      <c r="L50" s="106"/>
      <c r="M50" s="144" t="s">
        <v>154</v>
      </c>
      <c r="N50" s="135" t="e">
        <f>+#REF!</f>
        <v>#REF!</v>
      </c>
    </row>
    <row r="51" spans="1:14" ht="14.25">
      <c r="A51" s="90"/>
      <c r="E51" s="106"/>
      <c r="F51" s="106"/>
      <c r="G51" s="106"/>
      <c r="H51" s="106"/>
      <c r="I51" s="106"/>
      <c r="J51" s="106"/>
      <c r="K51" s="106"/>
      <c r="L51" s="106"/>
      <c r="M51" s="90" t="s">
        <v>151</v>
      </c>
      <c r="N51" s="137" t="e">
        <f>+#REF!</f>
        <v>#REF!</v>
      </c>
    </row>
    <row r="52" spans="1:14" ht="14.25">
      <c r="A52" s="90"/>
      <c r="M52" s="158" t="s">
        <v>146</v>
      </c>
      <c r="N52" s="135">
        <f>+C10</f>
        <v>8179600</v>
      </c>
    </row>
    <row r="53" spans="13:14" ht="14.25">
      <c r="M53" s="90" t="s">
        <v>171</v>
      </c>
      <c r="N53" s="137">
        <f>+C11</f>
        <v>-19263</v>
      </c>
    </row>
    <row r="54" spans="13:14" ht="14.25">
      <c r="M54" s="90" t="s">
        <v>174</v>
      </c>
      <c r="N54" s="160">
        <f>+C14</f>
        <v>8160337</v>
      </c>
    </row>
    <row r="55" spans="1:14" ht="14.25">
      <c r="A55" s="90"/>
      <c r="M55" s="90"/>
      <c r="N55" s="135"/>
    </row>
    <row r="56" spans="1:14" ht="15" thickBot="1">
      <c r="A56" s="106"/>
      <c r="M56" s="162" t="s">
        <v>176</v>
      </c>
      <c r="N56" s="161">
        <f>+C28</f>
        <v>-258691.46914446354</v>
      </c>
    </row>
    <row r="57" ht="13.5" thickTop="1"/>
  </sheetData>
  <sheetProtection/>
  <mergeCells count="3">
    <mergeCell ref="H3:I3"/>
    <mergeCell ref="L6:N6"/>
    <mergeCell ref="L7:N7"/>
  </mergeCells>
  <printOptions gridLines="1" headings="1" horizontalCentered="1" verticalCentered="1"/>
  <pageMargins left="0.5" right="0.5" top="0.73" bottom="0.5" header="0.48" footer="0.5"/>
  <pageSetup fitToHeight="1" fitToWidth="1" horizontalDpi="600" verticalDpi="600" orientation="landscape" scale="58" r:id="rId3"/>
  <headerFooter alignWithMargins="0">
    <oddFooter>&amp;ROrder U-09-50(2)/P-09-9(2)
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zoomScalePageLayoutView="0" workbookViewId="0" topLeftCell="C1">
      <selection activeCell="P36" sqref="P36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13.421875" style="1" customWidth="1"/>
    <col min="4" max="4" width="11.421875" style="1" customWidth="1"/>
    <col min="5" max="5" width="15.8515625" style="1" customWidth="1"/>
    <col min="6" max="6" width="11.8515625" style="1" customWidth="1"/>
    <col min="7" max="7" width="10.28125" style="1" customWidth="1"/>
    <col min="8" max="8" width="10.140625" style="1" customWidth="1"/>
    <col min="9" max="9" width="13.57421875" style="1" customWidth="1"/>
    <col min="10" max="11" width="11.7109375" style="1" customWidth="1"/>
    <col min="12" max="12" width="10.421875" style="1" customWidth="1"/>
    <col min="13" max="14" width="9.140625" style="1" customWidth="1"/>
    <col min="15" max="15" width="16.7109375" style="1" customWidth="1"/>
    <col min="16" max="16" width="10.421875" style="1" bestFit="1" customWidth="1"/>
  </cols>
  <sheetData>
    <row r="1" spans="1:5" ht="12.75">
      <c r="A1" s="13" t="s">
        <v>116</v>
      </c>
      <c r="B1" s="13"/>
      <c r="E1" s="2"/>
    </row>
    <row r="2" spans="1:5" ht="12.75">
      <c r="A2" s="13"/>
      <c r="B2" s="13"/>
      <c r="E2" s="2"/>
    </row>
    <row r="3" ht="12.75">
      <c r="E3" s="2"/>
    </row>
    <row r="4" spans="5:16" ht="12.75">
      <c r="E4" s="3" t="s">
        <v>115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8.25">
      <c r="A5" s="5" t="s">
        <v>8</v>
      </c>
      <c r="B5" s="5" t="s">
        <v>195</v>
      </c>
      <c r="C5" s="7" t="s">
        <v>205</v>
      </c>
      <c r="D5" s="6" t="s">
        <v>235</v>
      </c>
      <c r="E5" s="7" t="s">
        <v>236</v>
      </c>
      <c r="F5" s="198" t="s">
        <v>10</v>
      </c>
      <c r="G5" s="198"/>
      <c r="H5" s="198" t="s">
        <v>11</v>
      </c>
      <c r="I5" s="7"/>
      <c r="J5" s="7"/>
      <c r="K5" s="7"/>
      <c r="L5" s="7" t="s">
        <v>234</v>
      </c>
      <c r="M5" s="7"/>
      <c r="N5" s="7"/>
      <c r="O5" s="7"/>
      <c r="P5" s="8"/>
    </row>
    <row r="6" spans="3:16" ht="25.5">
      <c r="C6" s="9" t="s">
        <v>12</v>
      </c>
      <c r="D6" s="9" t="s">
        <v>13</v>
      </c>
      <c r="E6" s="9"/>
      <c r="F6" s="199" t="s">
        <v>14</v>
      </c>
      <c r="G6" s="199" t="s">
        <v>15</v>
      </c>
      <c r="H6" s="199" t="s">
        <v>16</v>
      </c>
      <c r="I6" s="9" t="s">
        <v>17</v>
      </c>
      <c r="J6" s="9" t="s">
        <v>18</v>
      </c>
      <c r="K6" s="9" t="s">
        <v>19</v>
      </c>
      <c r="L6" s="9" t="s">
        <v>10</v>
      </c>
      <c r="M6" s="9" t="s">
        <v>21</v>
      </c>
      <c r="N6" s="199" t="s">
        <v>22</v>
      </c>
      <c r="O6" s="203" t="s">
        <v>240</v>
      </c>
      <c r="P6" s="9" t="s">
        <v>23</v>
      </c>
    </row>
    <row r="7" spans="6:15" ht="12.75">
      <c r="F7" s="200"/>
      <c r="G7" s="200"/>
      <c r="H7" s="200"/>
      <c r="N7" s="200"/>
      <c r="O7" s="200"/>
    </row>
    <row r="8" spans="6:15" ht="12.75">
      <c r="F8" s="200"/>
      <c r="G8" s="200"/>
      <c r="H8" s="200"/>
      <c r="N8" s="200"/>
      <c r="O8" s="200"/>
    </row>
    <row r="9" spans="1:16" ht="12.75">
      <c r="A9" s="195" t="s">
        <v>210</v>
      </c>
      <c r="B9" s="196">
        <f>'[1]Summary'!B9</f>
        <v>0</v>
      </c>
      <c r="C9" s="196">
        <f>'[1]Summary'!C9</f>
        <v>0</v>
      </c>
      <c r="D9" s="196">
        <f>'[1]Summary'!D9</f>
        <v>33.5</v>
      </c>
      <c r="E9" s="196">
        <f>'[1]Summary'!E9</f>
        <v>3</v>
      </c>
      <c r="F9" s="196">
        <f>'[1]Summary'!I9</f>
        <v>25</v>
      </c>
      <c r="G9" s="196">
        <f>'[1]Summary'!J9</f>
        <v>14.25</v>
      </c>
      <c r="H9" s="196">
        <f>'[1]sum watersewer'!D9</f>
        <v>35.75</v>
      </c>
      <c r="I9" s="196">
        <f>'[1]Summary'!N9</f>
        <v>11.5</v>
      </c>
      <c r="J9" s="196">
        <f>'[1]sum telecomm'!H3</f>
        <v>24.25</v>
      </c>
      <c r="K9" s="196">
        <f>'[1]sum telecomm'!I3</f>
        <v>15.5</v>
      </c>
      <c r="L9" s="196">
        <f>'[1]Summary'!F9</f>
        <v>2</v>
      </c>
      <c r="M9" s="196">
        <f>'[1]Summary'!L9</f>
        <v>0</v>
      </c>
      <c r="N9" s="196">
        <f>'[1]Summary'!Y9</f>
        <v>0</v>
      </c>
      <c r="O9" s="196">
        <f>'[1]Summary'!M9</f>
        <v>0</v>
      </c>
      <c r="P9" s="126">
        <f>'[1]Summary'!Z9</f>
        <v>330</v>
      </c>
    </row>
    <row r="10" spans="1:16" ht="12.75">
      <c r="A10" s="195" t="s">
        <v>211</v>
      </c>
      <c r="B10" s="196">
        <f>'[1]Summary'!B10</f>
        <v>0</v>
      </c>
      <c r="C10" s="196">
        <f>'[1]Summary'!C10</f>
        <v>0</v>
      </c>
      <c r="D10" s="196">
        <f>'[1]Summary'!D10</f>
        <v>60</v>
      </c>
      <c r="E10" s="196">
        <f>'[1]Summary'!E10</f>
        <v>11.25</v>
      </c>
      <c r="F10" s="196">
        <f>'[1]Summary'!I10</f>
        <v>29</v>
      </c>
      <c r="G10" s="196">
        <f>'[1]Summary'!J10</f>
        <v>5.5</v>
      </c>
      <c r="H10" s="196">
        <f>'[1]sum watersewer'!D10</f>
        <v>19.25</v>
      </c>
      <c r="I10" s="196">
        <f>'[1]Summary'!N10</f>
        <v>4</v>
      </c>
      <c r="J10" s="196">
        <f>'[1]sum telecomm'!H4</f>
        <v>15.375</v>
      </c>
      <c r="K10" s="196">
        <f>'[1]sum telecomm'!I4</f>
        <v>10.625</v>
      </c>
      <c r="L10" s="196">
        <f>'[1]Summary'!F10</f>
        <v>24.25</v>
      </c>
      <c r="M10" s="196">
        <f>'[1]Summary'!L10</f>
        <v>0</v>
      </c>
      <c r="N10" s="196">
        <f>'[1]Summary'!Y10</f>
        <v>0</v>
      </c>
      <c r="O10" s="196">
        <f>'[1]Summary'!M10</f>
        <v>0</v>
      </c>
      <c r="P10" s="126">
        <f>'[1]Summary'!Z10</f>
        <v>330</v>
      </c>
    </row>
    <row r="11" spans="1:16" ht="12.75">
      <c r="A11" s="195" t="s">
        <v>212</v>
      </c>
      <c r="B11" s="196">
        <f>'[1]Summary'!B11</f>
        <v>0</v>
      </c>
      <c r="C11" s="196">
        <f>'[1]Summary'!C11</f>
        <v>0</v>
      </c>
      <c r="D11" s="196">
        <f>'[1]Summary'!D11</f>
        <v>36.25</v>
      </c>
      <c r="E11" s="196">
        <f>'[1]Summary'!E11</f>
        <v>17.5</v>
      </c>
      <c r="F11" s="196">
        <f>'[1]Summary'!I11</f>
        <v>17.25</v>
      </c>
      <c r="G11" s="196">
        <f>'[1]Summary'!J11</f>
        <v>9</v>
      </c>
      <c r="H11" s="196">
        <f>'[1]sum watersewer'!D11</f>
        <v>3</v>
      </c>
      <c r="I11" s="196">
        <f>'[1]Summary'!N11</f>
        <v>2.5</v>
      </c>
      <c r="J11" s="196">
        <f>'[1]sum telecomm'!H5</f>
        <v>67.2</v>
      </c>
      <c r="K11" s="196">
        <f>'[1]sum telecomm'!I5</f>
        <v>13.5</v>
      </c>
      <c r="L11" s="196">
        <f>'[1]Summary'!F11</f>
        <v>0</v>
      </c>
      <c r="M11" s="196">
        <f>'[1]Summary'!L11</f>
        <v>0</v>
      </c>
      <c r="N11" s="196">
        <f>'[1]Summary'!Y11</f>
        <v>0</v>
      </c>
      <c r="O11" s="196">
        <f>'[1]Summary'!M11</f>
        <v>0</v>
      </c>
      <c r="P11" s="126">
        <f>'[1]Summary'!Z11</f>
        <v>300</v>
      </c>
    </row>
    <row r="12" spans="1:16" ht="12.75">
      <c r="A12" s="195" t="s">
        <v>213</v>
      </c>
      <c r="B12" s="196">
        <f>'[1]Summary'!B12</f>
        <v>0</v>
      </c>
      <c r="C12" s="196">
        <f>'[1]Summary'!C12</f>
        <v>0</v>
      </c>
      <c r="D12" s="196">
        <f>'[1]Summary'!D12</f>
        <v>12.5</v>
      </c>
      <c r="E12" s="196">
        <f>'[1]Summary'!E12</f>
        <v>3.5</v>
      </c>
      <c r="F12" s="196">
        <f>'[1]Summary'!I12</f>
        <v>32.75</v>
      </c>
      <c r="G12" s="196">
        <f>'[1]Summary'!J12</f>
        <v>21.75</v>
      </c>
      <c r="H12" s="196">
        <f>'[1]sum watersewer'!D12</f>
        <v>9.5</v>
      </c>
      <c r="I12" s="196">
        <f>'[1]Summary'!N12</f>
        <v>0</v>
      </c>
      <c r="J12" s="196">
        <f>'[1]sum telecomm'!H6</f>
        <v>47.375</v>
      </c>
      <c r="K12" s="196">
        <f>'[1]sum telecomm'!I6</f>
        <v>25.875</v>
      </c>
      <c r="L12" s="196">
        <f>'[1]Summary'!F12</f>
        <v>3</v>
      </c>
      <c r="M12" s="196">
        <f>'[1]Summary'!L12</f>
        <v>0</v>
      </c>
      <c r="N12" s="196">
        <f>'[1]Summary'!Y12</f>
        <v>0</v>
      </c>
      <c r="O12" s="196">
        <f>'[1]Summary'!M12</f>
        <v>0</v>
      </c>
      <c r="P12" s="126">
        <f>'[1]Summary'!Z12</f>
        <v>330</v>
      </c>
    </row>
    <row r="13" spans="1:16" ht="12.75">
      <c r="A13" s="195" t="s">
        <v>214</v>
      </c>
      <c r="B13" s="196">
        <f>'[1]Summary'!B13</f>
        <v>0</v>
      </c>
      <c r="C13" s="196">
        <f>'[1]Summary'!C13</f>
        <v>0</v>
      </c>
      <c r="D13" s="196">
        <f>'[1]Summary'!D13</f>
        <v>52.5</v>
      </c>
      <c r="E13" s="196">
        <f>'[1]Summary'!E13</f>
        <v>4.5</v>
      </c>
      <c r="F13" s="196">
        <f>'[1]Summary'!I13</f>
        <v>10.75</v>
      </c>
      <c r="G13" s="196">
        <f>'[1]Summary'!J13</f>
        <v>3.25</v>
      </c>
      <c r="H13" s="196">
        <f>'[1]sum watersewer'!D13</f>
        <v>8</v>
      </c>
      <c r="I13" s="196">
        <f>'[1]Summary'!N13</f>
        <v>1</v>
      </c>
      <c r="J13" s="196">
        <f>'[1]sum telecomm'!H7</f>
        <v>27.125</v>
      </c>
      <c r="K13" s="196">
        <f>'[1]sum telecomm'!I7</f>
        <v>17.125</v>
      </c>
      <c r="L13" s="196">
        <f>'[1]Summary'!F13</f>
        <v>1.5</v>
      </c>
      <c r="M13" s="196">
        <f>'[1]Summary'!L13</f>
        <v>0</v>
      </c>
      <c r="N13" s="196">
        <f>'[1]Summary'!Y13</f>
        <v>0</v>
      </c>
      <c r="O13" s="196">
        <f>'[1]Summary'!M13</f>
        <v>0</v>
      </c>
      <c r="P13" s="126">
        <f>'[1]Summary'!Z13</f>
        <v>247.5</v>
      </c>
    </row>
    <row r="14" spans="1:16" ht="12.75">
      <c r="A14" s="195" t="s">
        <v>215</v>
      </c>
      <c r="B14" s="196">
        <f>'[1]Summary'!B14</f>
        <v>0</v>
      </c>
      <c r="C14" s="196">
        <f>'[1]Summary'!C14</f>
        <v>0</v>
      </c>
      <c r="D14" s="196">
        <f>'[1]Summary'!D14</f>
        <v>50</v>
      </c>
      <c r="E14" s="196">
        <f>'[1]Summary'!E14</f>
        <v>4.5</v>
      </c>
      <c r="F14" s="196">
        <f>'[1]Summary'!I14</f>
        <v>7.5</v>
      </c>
      <c r="G14" s="196">
        <f>'[1]Summary'!J14</f>
        <v>18</v>
      </c>
      <c r="H14" s="196">
        <f>'[1]sum watersewer'!D14</f>
        <v>0</v>
      </c>
      <c r="I14" s="196">
        <f>'[1]Summary'!N14</f>
        <v>0</v>
      </c>
      <c r="J14" s="196">
        <f>'[1]sum telecomm'!H8</f>
        <v>24.25</v>
      </c>
      <c r="K14" s="196">
        <f>'[1]sum telecomm'!I8</f>
        <v>2.75</v>
      </c>
      <c r="L14" s="196">
        <f>'[1]Summary'!F14</f>
        <v>0</v>
      </c>
      <c r="M14" s="196">
        <f>'[1]Summary'!L14</f>
        <v>0</v>
      </c>
      <c r="N14" s="196">
        <f>'[1]Summary'!Y14</f>
        <v>0</v>
      </c>
      <c r="O14" s="196">
        <f>'[1]Summary'!M14</f>
        <v>0</v>
      </c>
      <c r="P14" s="126">
        <f>'[1]Summary'!Z14</f>
        <v>270</v>
      </c>
    </row>
    <row r="15" spans="1:16" ht="12.75">
      <c r="A15" s="195" t="s">
        <v>216</v>
      </c>
      <c r="B15" s="196">
        <f>'[1]Summary'!B15</f>
        <v>0</v>
      </c>
      <c r="C15" s="196">
        <f>'[1]Summary'!C15</f>
        <v>0</v>
      </c>
      <c r="D15" s="196">
        <f>'[1]Summary'!D15</f>
        <v>8.75</v>
      </c>
      <c r="E15" s="196">
        <f>'[1]Summary'!E15</f>
        <v>2.5</v>
      </c>
      <c r="F15" s="196">
        <f>'[1]Summary'!I15</f>
        <v>15</v>
      </c>
      <c r="G15" s="196">
        <f>'[1]Summary'!J15</f>
        <v>7.5</v>
      </c>
      <c r="H15" s="196">
        <f>'[1]sum watersewer'!D15</f>
        <v>0</v>
      </c>
      <c r="I15" s="196">
        <f>'[1]Summary'!N15</f>
        <v>0</v>
      </c>
      <c r="J15" s="196">
        <f>'[1]sum telecomm'!H9</f>
        <v>25.25</v>
      </c>
      <c r="K15" s="196">
        <f>'[1]sum telecomm'!I9</f>
        <v>2.25</v>
      </c>
      <c r="L15" s="196">
        <f>'[1]Summary'!F15</f>
        <v>0</v>
      </c>
      <c r="M15" s="196">
        <f>'[1]Summary'!L15</f>
        <v>0</v>
      </c>
      <c r="N15" s="196">
        <f>'[1]Summary'!Y15</f>
        <v>0</v>
      </c>
      <c r="O15" s="196">
        <f>'[1]Summary'!M15</f>
        <v>0</v>
      </c>
      <c r="P15" s="126">
        <f>'[1]Summary'!Z15</f>
        <v>165</v>
      </c>
    </row>
    <row r="16" spans="1:16" ht="12.75">
      <c r="A16" s="195" t="s">
        <v>217</v>
      </c>
      <c r="B16" s="196">
        <f>'[1]Summary'!B16</f>
        <v>0</v>
      </c>
      <c r="C16" s="196">
        <f>'[1]Summary'!C16</f>
        <v>0</v>
      </c>
      <c r="D16" s="196">
        <f>'[1]Summary'!D16</f>
        <v>49.5</v>
      </c>
      <c r="E16" s="196">
        <f>'[1]Summary'!E16</f>
        <v>9.5</v>
      </c>
      <c r="F16" s="196">
        <f>'[1]Summary'!I16</f>
        <v>11.5</v>
      </c>
      <c r="G16" s="196">
        <f>'[1]Summary'!J16</f>
        <v>11.75</v>
      </c>
      <c r="H16" s="196">
        <f>'[1]sum watersewer'!D16</f>
        <v>3.25</v>
      </c>
      <c r="I16" s="196">
        <f>'[1]Summary'!N16</f>
        <v>0</v>
      </c>
      <c r="J16" s="196">
        <f>'[1]sum telecomm'!H10</f>
        <v>29</v>
      </c>
      <c r="K16" s="196">
        <f>'[1]sum telecomm'!I10</f>
        <v>2.5</v>
      </c>
      <c r="L16" s="196">
        <f>'[1]Summary'!F16</f>
        <v>0</v>
      </c>
      <c r="M16" s="196">
        <f>'[1]Summary'!L16</f>
        <v>0</v>
      </c>
      <c r="N16" s="196">
        <f>'[1]Summary'!Y16</f>
        <v>0</v>
      </c>
      <c r="O16" s="196">
        <f>'[1]Summary'!M16</f>
        <v>0</v>
      </c>
      <c r="P16" s="126">
        <f>'[1]Summary'!Z16</f>
        <v>225</v>
      </c>
    </row>
    <row r="17" spans="1:16" ht="12.75">
      <c r="A17" s="195" t="s">
        <v>218</v>
      </c>
      <c r="B17" s="196">
        <f>'[1]Summary'!B17</f>
        <v>0</v>
      </c>
      <c r="C17" s="196">
        <f>'[1]Summary'!C17</f>
        <v>1.5</v>
      </c>
      <c r="D17" s="196">
        <f>'[1]Summary'!D17</f>
        <v>25.5</v>
      </c>
      <c r="E17" s="196">
        <f>'[1]Summary'!E17</f>
        <v>35.5</v>
      </c>
      <c r="F17" s="196">
        <f>'[1]Summary'!I17</f>
        <v>21</v>
      </c>
      <c r="G17" s="196">
        <f>'[1]Summary'!J17</f>
        <v>13.5</v>
      </c>
      <c r="H17" s="196">
        <f>'[1]sum watersewer'!D17</f>
        <v>4.25</v>
      </c>
      <c r="I17" s="196">
        <f>'[1]Summary'!N17</f>
        <v>1.25</v>
      </c>
      <c r="J17" s="196">
        <f>'[1]sum telecomm'!H11</f>
        <v>21.25</v>
      </c>
      <c r="K17" s="196">
        <f>'[1]sum telecomm'!I11</f>
        <v>3.75</v>
      </c>
      <c r="L17" s="196">
        <f>'[1]Summary'!F17</f>
        <v>0</v>
      </c>
      <c r="M17" s="196">
        <f>'[1]Summary'!L17</f>
        <v>0</v>
      </c>
      <c r="N17" s="196">
        <f>'[1]Summary'!Y17</f>
        <v>0</v>
      </c>
      <c r="O17" s="196">
        <f>'[1]Summary'!M17</f>
        <v>0</v>
      </c>
      <c r="P17" s="126">
        <f>'[1]Summary'!Z17</f>
        <v>247.5</v>
      </c>
    </row>
    <row r="18" spans="1:16" ht="12.75">
      <c r="A18" s="195" t="s">
        <v>219</v>
      </c>
      <c r="B18" s="196">
        <f>'[1]Summary'!B18</f>
        <v>0</v>
      </c>
      <c r="C18" s="196">
        <f>'[1]Summary'!C18</f>
        <v>0</v>
      </c>
      <c r="D18" s="196">
        <f>'[1]Summary'!D18</f>
        <v>13.5</v>
      </c>
      <c r="E18" s="196">
        <f>'[1]Summary'!E18</f>
        <v>3.5</v>
      </c>
      <c r="F18" s="196">
        <f>'[1]Summary'!I18</f>
        <v>45.5</v>
      </c>
      <c r="G18" s="196">
        <f>'[1]Summary'!J18</f>
        <v>13.25</v>
      </c>
      <c r="H18" s="196">
        <f>'[1]sum watersewer'!D18</f>
        <v>11.75</v>
      </c>
      <c r="I18" s="196">
        <f>'[1]Summary'!N18</f>
        <v>3</v>
      </c>
      <c r="J18" s="196">
        <f>'[1]sum telecomm'!H12</f>
        <v>20.75</v>
      </c>
      <c r="K18" s="196">
        <f>'[1]sum telecomm'!I12</f>
        <v>8.75</v>
      </c>
      <c r="L18" s="196">
        <f>'[1]Summary'!F18</f>
        <v>0</v>
      </c>
      <c r="M18" s="196">
        <f>'[1]Summary'!L18</f>
        <v>0</v>
      </c>
      <c r="N18" s="196">
        <f>'[1]Summary'!Y18</f>
        <v>0</v>
      </c>
      <c r="O18" s="196">
        <f>'[1]Summary'!M18</f>
        <v>0</v>
      </c>
      <c r="P18" s="126">
        <f>'[1]Summary'!Z18</f>
        <v>247.5</v>
      </c>
    </row>
    <row r="19" spans="1:16" ht="12.75">
      <c r="A19" s="195" t="s">
        <v>220</v>
      </c>
      <c r="B19" s="196">
        <f>'[1]Summary'!B19</f>
        <v>0</v>
      </c>
      <c r="C19" s="196">
        <f>'[1]Summary'!C19</f>
        <v>0</v>
      </c>
      <c r="D19" s="196">
        <f>'[1]Summary'!D19</f>
        <v>28</v>
      </c>
      <c r="E19" s="196">
        <f>'[1]Summary'!E19</f>
        <v>8.75</v>
      </c>
      <c r="F19" s="196">
        <f>'[1]Summary'!I19</f>
        <v>13.5</v>
      </c>
      <c r="G19" s="196">
        <f>'[1]Summary'!J19</f>
        <v>13.75</v>
      </c>
      <c r="H19" s="196">
        <f>'[1]sum watersewer'!D19</f>
        <v>3.75</v>
      </c>
      <c r="I19" s="196">
        <f>'[1]Summary'!N19</f>
        <v>1</v>
      </c>
      <c r="J19" s="196">
        <f>'[1]sum telecomm'!H13</f>
        <v>30.5</v>
      </c>
      <c r="K19" s="196">
        <f>'[1]sum telecomm'!I13</f>
        <v>7.25</v>
      </c>
      <c r="L19" s="196">
        <f>'[1]Summary'!F19</f>
        <v>0</v>
      </c>
      <c r="M19" s="196">
        <f>'[1]Summary'!L19</f>
        <v>1.25</v>
      </c>
      <c r="N19" s="196">
        <f>'[1]Summary'!Y19</f>
        <v>0</v>
      </c>
      <c r="O19" s="196">
        <f>'[1]Summary'!M19</f>
        <v>0.25</v>
      </c>
      <c r="P19" s="126">
        <f>'[1]Summary'!Z19</f>
        <v>247.5</v>
      </c>
    </row>
    <row r="20" spans="1:16" ht="12.75">
      <c r="A20" s="195" t="s">
        <v>221</v>
      </c>
      <c r="B20" s="196">
        <f>'[1]Summary'!B20</f>
        <v>0</v>
      </c>
      <c r="C20" s="196">
        <f>'[1]Summary'!C20</f>
        <v>0</v>
      </c>
      <c r="D20" s="196">
        <f>'[1]Summary'!D20</f>
        <v>57.75</v>
      </c>
      <c r="E20" s="196">
        <f>'[1]Summary'!E20</f>
        <v>27</v>
      </c>
      <c r="F20" s="196">
        <f>'[1]Summary'!I20</f>
        <v>9.75</v>
      </c>
      <c r="G20" s="196">
        <f>'[1]Summary'!J20</f>
        <v>16.25</v>
      </c>
      <c r="H20" s="196">
        <f>'[1]sum watersewer'!D20</f>
        <v>6.5</v>
      </c>
      <c r="I20" s="196">
        <f>'[1]Summary'!N20</f>
        <v>0.25</v>
      </c>
      <c r="J20" s="196">
        <f>'[1]sum telecomm'!H14</f>
        <v>22.25</v>
      </c>
      <c r="K20" s="196">
        <f>'[1]sum telecomm'!I14</f>
        <v>11</v>
      </c>
      <c r="L20" s="196">
        <f>'[1]Summary'!F20</f>
        <v>0</v>
      </c>
      <c r="M20" s="196">
        <f>'[1]Summary'!L20</f>
        <v>0</v>
      </c>
      <c r="N20" s="196">
        <f>'[1]Summary'!Y20</f>
        <v>0</v>
      </c>
      <c r="O20" s="196">
        <f>'[1]Summary'!M20</f>
        <v>0</v>
      </c>
      <c r="P20" s="126">
        <f>'[1]Summary'!Z20</f>
        <v>270</v>
      </c>
    </row>
    <row r="21" spans="1:16" ht="12.75">
      <c r="A21" s="195" t="s">
        <v>222</v>
      </c>
      <c r="B21" s="196">
        <f>'[1]Summary'!B21</f>
        <v>0</v>
      </c>
      <c r="C21" s="196">
        <f>'[1]Summary'!C21</f>
        <v>0</v>
      </c>
      <c r="D21" s="196">
        <f>'[1]Summary'!D21</f>
        <v>84.5</v>
      </c>
      <c r="E21" s="196">
        <f>'[1]Summary'!E21</f>
        <v>19.5</v>
      </c>
      <c r="F21" s="196">
        <f>'[1]Summary'!I21</f>
        <v>9</v>
      </c>
      <c r="G21" s="196">
        <f>'[1]Summary'!J21</f>
        <v>20</v>
      </c>
      <c r="H21" s="196">
        <f>'[1]sum watersewer'!D21</f>
        <v>6.25</v>
      </c>
      <c r="I21" s="196">
        <f>'[1]Summary'!N21</f>
        <v>0.5</v>
      </c>
      <c r="J21" s="196">
        <f>'[1]sum telecomm'!H15</f>
        <v>12.75</v>
      </c>
      <c r="K21" s="196">
        <f>'[1]sum telecomm'!I15</f>
        <v>1.5</v>
      </c>
      <c r="L21" s="196">
        <f>'[1]Summary'!F21</f>
        <v>0</v>
      </c>
      <c r="M21" s="196">
        <f>'[1]Summary'!L21</f>
        <v>0</v>
      </c>
      <c r="N21" s="196">
        <f>'[1]Summary'!Y21</f>
        <v>0</v>
      </c>
      <c r="O21" s="196">
        <f>'[1]Summary'!M21</f>
        <v>0</v>
      </c>
      <c r="P21" s="126">
        <f>'[1]Summary'!Z21</f>
        <v>225</v>
      </c>
    </row>
    <row r="22" spans="1:16" ht="12.75">
      <c r="A22" s="195" t="s">
        <v>223</v>
      </c>
      <c r="B22" s="196">
        <f>'[1]Summary'!B22</f>
        <v>0</v>
      </c>
      <c r="C22" s="196">
        <f>'[1]Summary'!C22</f>
        <v>0</v>
      </c>
      <c r="D22" s="196">
        <f>'[1]Summary'!D22</f>
        <v>45</v>
      </c>
      <c r="E22" s="196">
        <f>'[1]Summary'!E22</f>
        <v>15.5</v>
      </c>
      <c r="F22" s="196">
        <f>'[1]Summary'!I22</f>
        <v>12.25</v>
      </c>
      <c r="G22" s="196">
        <f>'[1]Summary'!J22</f>
        <v>69.75</v>
      </c>
      <c r="H22" s="196">
        <f>'[1]sum watersewer'!D22</f>
        <v>0</v>
      </c>
      <c r="I22" s="196">
        <f>'[1]Summary'!N22</f>
        <v>0.25</v>
      </c>
      <c r="J22" s="196">
        <f>'[1]sum telecomm'!H16</f>
        <v>22.75</v>
      </c>
      <c r="K22" s="196">
        <f>'[1]sum telecomm'!I16</f>
        <v>3.25</v>
      </c>
      <c r="L22" s="196">
        <f>'[1]Summary'!F22</f>
        <v>0</v>
      </c>
      <c r="M22" s="196">
        <f>'[1]Summary'!L22</f>
        <v>0</v>
      </c>
      <c r="N22" s="196">
        <f>'[1]Summary'!Y22</f>
        <v>0</v>
      </c>
      <c r="O22" s="196">
        <f>'[1]Summary'!M22</f>
        <v>0</v>
      </c>
      <c r="P22" s="126">
        <f>'[1]Summary'!Z22</f>
        <v>225</v>
      </c>
    </row>
    <row r="23" spans="1:16" ht="12.75">
      <c r="A23" s="195" t="s">
        <v>224</v>
      </c>
      <c r="B23" s="196">
        <f>'[1]Summary'!B23</f>
        <v>0</v>
      </c>
      <c r="C23" s="196">
        <f>'[1]Summary'!C23</f>
        <v>0</v>
      </c>
      <c r="D23" s="196">
        <f>'[1]Summary'!D23</f>
        <v>17.25</v>
      </c>
      <c r="E23" s="196">
        <f>'[1]Summary'!E23</f>
        <v>2.25</v>
      </c>
      <c r="F23" s="196">
        <f>'[1]Summary'!I23</f>
        <v>25.75</v>
      </c>
      <c r="G23" s="196">
        <f>'[1]Summary'!J23</f>
        <v>17.5</v>
      </c>
      <c r="H23" s="196">
        <f>'[1]sum watersewer'!D23</f>
        <v>1</v>
      </c>
      <c r="I23" s="196">
        <f>'[1]Summary'!N23</f>
        <v>2</v>
      </c>
      <c r="J23" s="196">
        <f>'[1]sum telecomm'!H17</f>
        <v>33.375</v>
      </c>
      <c r="K23" s="196">
        <f>'[1]sum telecomm'!I17</f>
        <v>0.375</v>
      </c>
      <c r="L23" s="196">
        <f>'[1]Summary'!F23</f>
        <v>1.25</v>
      </c>
      <c r="M23" s="196">
        <f>'[1]Summary'!L23</f>
        <v>0</v>
      </c>
      <c r="N23" s="196">
        <f>'[1]Summary'!Y23</f>
        <v>0</v>
      </c>
      <c r="O23" s="196">
        <f>'[1]Summary'!M23</f>
        <v>0</v>
      </c>
      <c r="P23" s="126">
        <f>'[1]Summary'!Z23</f>
        <v>247.5</v>
      </c>
    </row>
    <row r="24" spans="1:16" ht="12.75">
      <c r="A24" s="195" t="s">
        <v>225</v>
      </c>
      <c r="B24" s="196">
        <f>'[1]Summary'!B24</f>
        <v>0</v>
      </c>
      <c r="C24" s="196">
        <f>'[1]Summary'!C24</f>
        <v>2.5</v>
      </c>
      <c r="D24" s="196">
        <f>'[1]Summary'!D24</f>
        <v>47.5</v>
      </c>
      <c r="E24" s="196">
        <f>'[1]Summary'!E24</f>
        <v>1.25</v>
      </c>
      <c r="F24" s="196">
        <f>'[1]Summary'!I24</f>
        <v>15.7</v>
      </c>
      <c r="G24" s="196">
        <f>'[1]Summary'!J24</f>
        <v>13.75</v>
      </c>
      <c r="H24" s="196">
        <f>'[1]sum watersewer'!D24</f>
        <v>11.75</v>
      </c>
      <c r="I24" s="196">
        <f>'[1]Summary'!N24</f>
        <v>3</v>
      </c>
      <c r="J24" s="196">
        <f>'[1]sum telecomm'!H18</f>
        <v>10</v>
      </c>
      <c r="K24" s="196">
        <f>'[1]sum telecomm'!I18</f>
        <v>3</v>
      </c>
      <c r="L24" s="196">
        <f>'[1]Summary'!F24</f>
        <v>2</v>
      </c>
      <c r="M24" s="196">
        <f>'[1]Summary'!L24</f>
        <v>0</v>
      </c>
      <c r="N24" s="196">
        <f>'[1]Summary'!Y24</f>
        <v>0</v>
      </c>
      <c r="O24" s="196">
        <f>'[1]Summary'!M24</f>
        <v>0</v>
      </c>
      <c r="P24" s="126">
        <f>'[1]Summary'!Z24</f>
        <v>270</v>
      </c>
    </row>
    <row r="25" spans="1:16" ht="12.75">
      <c r="A25" s="195" t="s">
        <v>226</v>
      </c>
      <c r="B25" s="196">
        <f>'[1]Summary'!B25</f>
        <v>0</v>
      </c>
      <c r="C25" s="196">
        <f>'[1]Summary'!C25</f>
        <v>0</v>
      </c>
      <c r="D25" s="196">
        <f>'[1]Summary'!D25</f>
        <v>52.5</v>
      </c>
      <c r="E25" s="196">
        <f>'[1]Summary'!E25</f>
        <v>29</v>
      </c>
      <c r="F25" s="196">
        <f>'[1]Summary'!I25</f>
        <v>22.5</v>
      </c>
      <c r="G25" s="196">
        <f>'[1]Summary'!J25</f>
        <v>15</v>
      </c>
      <c r="H25" s="196">
        <f>'[1]sum watersewer'!D25</f>
        <v>2.5</v>
      </c>
      <c r="I25" s="196">
        <f>'[1]Summary'!N25</f>
        <v>2.5</v>
      </c>
      <c r="J25" s="196">
        <f>'[1]sum telecomm'!H19</f>
        <v>14.75</v>
      </c>
      <c r="K25" s="196">
        <f>'[1]sum telecomm'!I19</f>
        <v>6.5</v>
      </c>
      <c r="L25" s="196">
        <f>'[1]Summary'!F25</f>
        <v>0</v>
      </c>
      <c r="M25" s="196">
        <f>'[1]Summary'!L25</f>
        <v>0.5</v>
      </c>
      <c r="N25" s="196">
        <f>'[1]Summary'!Y25</f>
        <v>0</v>
      </c>
      <c r="O25" s="196">
        <f>'[1]Summary'!M25</f>
        <v>0</v>
      </c>
      <c r="P25" s="126">
        <f>'[1]Summary'!Z25</f>
        <v>247.5</v>
      </c>
    </row>
    <row r="26" spans="1:16" ht="12.75">
      <c r="A26" s="195" t="s">
        <v>227</v>
      </c>
      <c r="B26" s="196">
        <f>'[1]Summary'!B26</f>
        <v>0</v>
      </c>
      <c r="C26" s="196">
        <f>'[1]Summary'!C26</f>
        <v>0</v>
      </c>
      <c r="D26" s="196">
        <f>'[1]Summary'!D26</f>
        <v>26.5</v>
      </c>
      <c r="E26" s="196">
        <f>'[1]Summary'!E26</f>
        <v>5.75</v>
      </c>
      <c r="F26" s="196">
        <f>'[1]Summary'!I26</f>
        <v>25.5</v>
      </c>
      <c r="G26" s="196">
        <f>'[1]Summary'!J26</f>
        <v>25</v>
      </c>
      <c r="H26" s="196">
        <f>'[1]sum watersewer'!D26</f>
        <v>0</v>
      </c>
      <c r="I26" s="196">
        <f>'[1]Summary'!N26</f>
        <v>4.25</v>
      </c>
      <c r="J26" s="196">
        <f>'[1]sum telecomm'!H20</f>
        <v>23</v>
      </c>
      <c r="K26" s="196">
        <f>'[1]sum telecomm'!I20</f>
        <v>6.25</v>
      </c>
      <c r="L26" s="196">
        <f>'[1]Summary'!F26</f>
        <v>0</v>
      </c>
      <c r="M26" s="196">
        <f>'[1]Summary'!L26</f>
        <v>0</v>
      </c>
      <c r="N26" s="196">
        <f>'[1]Summary'!Y26</f>
        <v>0</v>
      </c>
      <c r="O26" s="196">
        <f>'[1]Summary'!M26</f>
        <v>0</v>
      </c>
      <c r="P26" s="126">
        <f>'[1]Summary'!Z26</f>
        <v>247.5</v>
      </c>
    </row>
    <row r="27" spans="1:16" ht="12.75">
      <c r="A27" s="195" t="s">
        <v>228</v>
      </c>
      <c r="B27" s="196">
        <f>'[1]Summary'!B27</f>
        <v>0</v>
      </c>
      <c r="C27" s="196">
        <f>'[1]Summary'!C27</f>
        <v>0</v>
      </c>
      <c r="D27" s="196">
        <f>'[1]Summary'!D27</f>
        <v>1</v>
      </c>
      <c r="E27" s="196">
        <f>'[1]Summary'!E27</f>
        <v>23</v>
      </c>
      <c r="F27" s="196">
        <f>'[1]Summary'!I27</f>
        <v>29</v>
      </c>
      <c r="G27" s="196">
        <f>'[1]Summary'!J27</f>
        <v>3.75</v>
      </c>
      <c r="H27" s="196">
        <f>'[1]sum watersewer'!D27</f>
        <v>0.25</v>
      </c>
      <c r="I27" s="196">
        <f>'[1]Summary'!N27</f>
        <v>0.5</v>
      </c>
      <c r="J27" s="196">
        <f>'[1]sum telecomm'!H21</f>
        <v>2.75</v>
      </c>
      <c r="K27" s="196">
        <f>'[1]sum telecomm'!I21</f>
        <v>1</v>
      </c>
      <c r="L27" s="196">
        <f>'[1]Summary'!F27</f>
        <v>0</v>
      </c>
      <c r="M27" s="196">
        <f>'[1]Summary'!L27</f>
        <v>0</v>
      </c>
      <c r="N27" s="196">
        <f>'[1]Summary'!Y27</f>
        <v>0</v>
      </c>
      <c r="O27" s="196">
        <f>'[1]Summary'!M27</f>
        <v>0</v>
      </c>
      <c r="P27" s="126">
        <f>'[1]Summary'!Z27</f>
        <v>225</v>
      </c>
    </row>
    <row r="28" spans="1:16" ht="12.75">
      <c r="A28" s="195" t="s">
        <v>229</v>
      </c>
      <c r="B28" s="196">
        <f>'[1]Summary'!B28</f>
        <v>0</v>
      </c>
      <c r="C28" s="196">
        <f>'[1]Summary'!C28</f>
        <v>0</v>
      </c>
      <c r="D28" s="196">
        <f>'[1]Summary'!D28</f>
        <v>42.5</v>
      </c>
      <c r="E28" s="196">
        <f>'[1]Summary'!E28</f>
        <v>1.25</v>
      </c>
      <c r="F28" s="196">
        <f>'[1]Summary'!I28</f>
        <v>37.75</v>
      </c>
      <c r="G28" s="196">
        <f>'[1]Summary'!J28</f>
        <v>12.5</v>
      </c>
      <c r="H28" s="196">
        <f>'[1]sum watersewer'!D28</f>
        <v>3.75</v>
      </c>
      <c r="I28" s="196">
        <f>'[1]Summary'!N28</f>
        <v>0.5</v>
      </c>
      <c r="J28" s="196">
        <f>'[1]sum telecomm'!H22</f>
        <v>15.25</v>
      </c>
      <c r="K28" s="196">
        <f>'[1]sum telecomm'!I22</f>
        <v>18.25</v>
      </c>
      <c r="L28" s="196">
        <f>'[1]Summary'!F28</f>
        <v>0</v>
      </c>
      <c r="M28" s="196">
        <f>'[1]Summary'!L28</f>
        <v>0</v>
      </c>
      <c r="N28" s="196">
        <f>'[1]Summary'!Y28</f>
        <v>0</v>
      </c>
      <c r="O28" s="196">
        <f>'[1]Summary'!M28</f>
        <v>0</v>
      </c>
      <c r="P28" s="126">
        <f>'[1]Summary'!Z28</f>
        <v>225</v>
      </c>
    </row>
    <row r="29" spans="1:16" ht="12.75">
      <c r="A29" s="195" t="s">
        <v>230</v>
      </c>
      <c r="B29" s="196">
        <f>'[1]Summary'!B29</f>
        <v>0</v>
      </c>
      <c r="C29" s="196">
        <f>'[1]Summary'!C29</f>
        <v>0</v>
      </c>
      <c r="D29" s="196">
        <f>'[1]Summary'!D29</f>
        <v>15</v>
      </c>
      <c r="E29" s="196">
        <f>'[1]Summary'!E29</f>
        <v>2</v>
      </c>
      <c r="F29" s="196">
        <f>'[1]Summary'!I29</f>
        <v>53.75</v>
      </c>
      <c r="G29" s="196">
        <f>'[1]Summary'!J29</f>
        <v>14</v>
      </c>
      <c r="H29" s="196">
        <f>'[1]sum watersewer'!D29</f>
        <v>10.75</v>
      </c>
      <c r="I29" s="196">
        <f>'[1]Summary'!N29</f>
        <v>5</v>
      </c>
      <c r="J29" s="196">
        <f>'[1]sum telecomm'!H23</f>
        <v>11.25</v>
      </c>
      <c r="K29" s="196">
        <f>'[1]sum telecomm'!I23</f>
        <v>9.25</v>
      </c>
      <c r="L29" s="196">
        <f>'[1]Summary'!F29</f>
        <v>0</v>
      </c>
      <c r="M29" s="196">
        <f>'[1]Summary'!L29</f>
        <v>0</v>
      </c>
      <c r="N29" s="196">
        <f>'[1]Summary'!Y29</f>
        <v>0</v>
      </c>
      <c r="O29" s="196">
        <f>'[1]Summary'!M29</f>
        <v>0</v>
      </c>
      <c r="P29" s="126">
        <f>'[1]Summary'!Z29</f>
        <v>225</v>
      </c>
    </row>
    <row r="30" spans="1:16" ht="12.75">
      <c r="A30" s="195" t="s">
        <v>231</v>
      </c>
      <c r="B30" s="196">
        <f>'[1]Summary'!B30</f>
        <v>0</v>
      </c>
      <c r="C30" s="196">
        <f>'[1]Summary'!C30</f>
        <v>0</v>
      </c>
      <c r="D30" s="196">
        <f>'[1]Summary'!D30</f>
        <v>22.5</v>
      </c>
      <c r="E30" s="196">
        <f>'[1]Summary'!E30</f>
        <v>3.25</v>
      </c>
      <c r="F30" s="196">
        <f>'[1]Summary'!I30</f>
        <v>31.5</v>
      </c>
      <c r="G30" s="196">
        <f>'[1]Summary'!J30</f>
        <v>7.75</v>
      </c>
      <c r="H30" s="196">
        <f>'[1]sum watersewer'!D30</f>
        <v>18.25</v>
      </c>
      <c r="I30" s="196">
        <f>'[1]Summary'!N30</f>
        <v>7.25</v>
      </c>
      <c r="J30" s="196">
        <f>'[1]sum telecomm'!H24</f>
        <v>8</v>
      </c>
      <c r="K30" s="196">
        <f>'[1]sum telecomm'!I24</f>
        <v>1.5</v>
      </c>
      <c r="L30" s="196">
        <f>'[1]Summary'!F30</f>
        <v>0</v>
      </c>
      <c r="M30" s="196">
        <f>'[1]Summary'!L30</f>
        <v>0</v>
      </c>
      <c r="N30" s="196">
        <f>'[1]Summary'!Y30</f>
        <v>0</v>
      </c>
      <c r="O30" s="196">
        <f>'[1]Summary'!M30</f>
        <v>0</v>
      </c>
      <c r="P30" s="126">
        <f>'[1]Summary'!Z30</f>
        <v>225</v>
      </c>
    </row>
    <row r="31" spans="1:16" ht="12.75">
      <c r="A31" s="195" t="s">
        <v>232</v>
      </c>
      <c r="B31" s="196">
        <f>'[1]Summary'!B31</f>
        <v>0</v>
      </c>
      <c r="C31" s="196">
        <f>'[1]Summary'!C31</f>
        <v>0</v>
      </c>
      <c r="D31" s="196">
        <f>'[1]Summary'!D31</f>
        <v>14</v>
      </c>
      <c r="E31" s="196">
        <f>'[1]Summary'!E31</f>
        <v>5.5</v>
      </c>
      <c r="F31" s="196">
        <f>'[1]Summary'!I31</f>
        <v>19.25</v>
      </c>
      <c r="G31" s="196">
        <f>'[1]Summary'!J31</f>
        <v>10.5</v>
      </c>
      <c r="H31" s="196">
        <f>'[1]sum watersewer'!D31</f>
        <v>8</v>
      </c>
      <c r="I31" s="196">
        <f>'[1]Summary'!N31</f>
        <v>0</v>
      </c>
      <c r="J31" s="196">
        <f>'[1]sum telecomm'!H25</f>
        <v>40.875</v>
      </c>
      <c r="K31" s="196">
        <f>'[1]sum telecomm'!I25</f>
        <v>7.875</v>
      </c>
      <c r="L31" s="196">
        <f>'[1]Summary'!F31</f>
        <v>0</v>
      </c>
      <c r="M31" s="196">
        <f>'[1]Summary'!L31</f>
        <v>0</v>
      </c>
      <c r="N31" s="196">
        <f>'[1]Summary'!Y31</f>
        <v>0</v>
      </c>
      <c r="O31" s="196">
        <f>'[1]Summary'!M31</f>
        <v>0</v>
      </c>
      <c r="P31" s="126">
        <f>'[1]Summary'!Z31</f>
        <v>270</v>
      </c>
    </row>
    <row r="32" spans="1:16" ht="12.75">
      <c r="A32" s="195" t="s">
        <v>233</v>
      </c>
      <c r="B32" s="196">
        <f>'[1]Summary'!B32</f>
        <v>0</v>
      </c>
      <c r="C32" s="196">
        <f>'[1]Summary'!C32</f>
        <v>0</v>
      </c>
      <c r="D32" s="196">
        <f>'[1]Summary'!D32</f>
        <v>0</v>
      </c>
      <c r="E32" s="196">
        <f>'[1]Summary'!E32</f>
        <v>3.5</v>
      </c>
      <c r="F32" s="196">
        <f>'[1]Summary'!I32</f>
        <v>16.25</v>
      </c>
      <c r="G32" s="196">
        <f>'[1]Summary'!J32</f>
        <v>7.75</v>
      </c>
      <c r="H32" s="196">
        <f>'[1]sum watersewer'!D32</f>
        <v>36.25</v>
      </c>
      <c r="I32" s="196">
        <f>'[1]Summary'!N32</f>
        <v>6.25</v>
      </c>
      <c r="J32" s="196">
        <f>'[1]sum telecomm'!H26</f>
        <v>15.5</v>
      </c>
      <c r="K32" s="196">
        <f>'[1]sum telecomm'!I26</f>
        <v>22.75</v>
      </c>
      <c r="L32" s="196">
        <f>'[1]Summary'!F32</f>
        <v>0</v>
      </c>
      <c r="M32" s="196">
        <f>'[1]Summary'!L32</f>
        <v>0</v>
      </c>
      <c r="N32" s="196">
        <f>'[1]Summary'!Y32</f>
        <v>0</v>
      </c>
      <c r="O32" s="196">
        <f>'[1]Summary'!M32</f>
        <v>0</v>
      </c>
      <c r="P32" s="126">
        <f>'[1]Summary'!Z32</f>
        <v>247.5</v>
      </c>
    </row>
    <row r="33" spans="1:16" ht="12.75">
      <c r="A33" s="195" t="s">
        <v>23</v>
      </c>
      <c r="B33" s="185">
        <f>SUM(B9:B32)</f>
        <v>0</v>
      </c>
      <c r="C33" s="197">
        <f aca="true" t="shared" si="0" ref="C33:P33">SUM(C9:C32)</f>
        <v>4</v>
      </c>
      <c r="D33" s="197">
        <f t="shared" si="0"/>
        <v>796</v>
      </c>
      <c r="E33" s="185">
        <f t="shared" si="0"/>
        <v>242.75</v>
      </c>
      <c r="F33" s="197">
        <f t="shared" si="0"/>
        <v>536.7</v>
      </c>
      <c r="G33" s="197">
        <f t="shared" si="0"/>
        <v>365</v>
      </c>
      <c r="H33" s="197">
        <f t="shared" si="0"/>
        <v>203.75</v>
      </c>
      <c r="I33" s="185">
        <f t="shared" si="0"/>
        <v>56.5</v>
      </c>
      <c r="J33" s="185">
        <f t="shared" si="0"/>
        <v>564.825</v>
      </c>
      <c r="K33" s="185">
        <f t="shared" si="0"/>
        <v>202.375</v>
      </c>
      <c r="L33" s="185">
        <f t="shared" si="0"/>
        <v>34</v>
      </c>
      <c r="M33" s="185">
        <f t="shared" si="0"/>
        <v>1.75</v>
      </c>
      <c r="N33" s="185">
        <f t="shared" si="0"/>
        <v>0</v>
      </c>
      <c r="O33" s="185">
        <f>SUM(O9:O32)</f>
        <v>0.25</v>
      </c>
      <c r="P33" s="185">
        <f t="shared" si="0"/>
        <v>6090</v>
      </c>
    </row>
    <row r="35" spans="3:16" ht="12.75">
      <c r="C35" s="14">
        <f>+C33/P33</f>
        <v>0.0006568144499178982</v>
      </c>
      <c r="D35" s="14">
        <f>+D33/P33</f>
        <v>0.13070607553366173</v>
      </c>
      <c r="E35" s="14">
        <f>+E33/P33</f>
        <v>0.03986042692939245</v>
      </c>
      <c r="F35" s="14">
        <f>+F33/P33</f>
        <v>0.088128078817734</v>
      </c>
      <c r="G35" s="14">
        <f>+G33/P33</f>
        <v>0.05993431855500821</v>
      </c>
      <c r="H35" s="14">
        <f>+H33/P33</f>
        <v>0.03345648604269294</v>
      </c>
      <c r="I35" s="14">
        <f>+I33/P33</f>
        <v>0.009277504105090312</v>
      </c>
      <c r="J35" s="14">
        <f>+J33/P33</f>
        <v>0.09274630541871921</v>
      </c>
      <c r="K35" s="14">
        <f>+K33/P33</f>
        <v>0.03323070607553366</v>
      </c>
      <c r="L35" s="14">
        <f>+L33/P33</f>
        <v>0.005582922824302135</v>
      </c>
      <c r="M35" s="14">
        <f>+M33/P33</f>
        <v>0.00028735632183908046</v>
      </c>
      <c r="N35" s="14">
        <f>+N33/P33</f>
        <v>0</v>
      </c>
      <c r="O35" s="14">
        <f>+O33/P33</f>
        <v>4.105090311986864E-05</v>
      </c>
      <c r="P35" s="14">
        <f>SUM(C35:O35)</f>
        <v>0.49390804597701143</v>
      </c>
    </row>
    <row r="37" spans="1:16" ht="13.5" thickBot="1">
      <c r="A37" t="s">
        <v>24</v>
      </c>
      <c r="F37" s="11">
        <f>+F33</f>
        <v>536.7</v>
      </c>
      <c r="G37" s="11">
        <f aca="true" t="shared" si="1" ref="G37:N37">+G33</f>
        <v>365</v>
      </c>
      <c r="H37" s="11">
        <f t="shared" si="1"/>
        <v>203.75</v>
      </c>
      <c r="I37" s="11">
        <f t="shared" si="1"/>
        <v>56.5</v>
      </c>
      <c r="J37" s="11">
        <f t="shared" si="1"/>
        <v>564.825</v>
      </c>
      <c r="K37" s="11">
        <f t="shared" si="1"/>
        <v>202.375</v>
      </c>
      <c r="L37" s="11">
        <f t="shared" si="1"/>
        <v>34</v>
      </c>
      <c r="M37" s="11">
        <f t="shared" si="1"/>
        <v>1.75</v>
      </c>
      <c r="N37" s="11">
        <f t="shared" si="1"/>
        <v>0</v>
      </c>
      <c r="O37" s="11"/>
      <c r="P37" s="11">
        <f>SUM(F37:N37)</f>
        <v>1964.9</v>
      </c>
    </row>
    <row r="38" ht="13.5" thickTop="1"/>
    <row r="39" spans="6:16" ht="12.75">
      <c r="F39" s="14">
        <f aca="true" t="shared" si="2" ref="F39:P39">+F37/$P$37</f>
        <v>0.27314367143366075</v>
      </c>
      <c r="G39" s="14">
        <f t="shared" si="2"/>
        <v>0.1857600895719884</v>
      </c>
      <c r="H39" s="14">
        <f t="shared" si="2"/>
        <v>0.10369484452134968</v>
      </c>
      <c r="I39" s="14">
        <f t="shared" si="2"/>
        <v>0.0287546440022393</v>
      </c>
      <c r="J39" s="14">
        <f t="shared" si="2"/>
        <v>0.2874573769657489</v>
      </c>
      <c r="K39" s="14">
        <f t="shared" si="2"/>
        <v>0.10299506336200315</v>
      </c>
      <c r="L39" s="14">
        <f t="shared" si="2"/>
        <v>0.01730367957656878</v>
      </c>
      <c r="M39" s="14">
        <f t="shared" si="2"/>
        <v>0.0008906305664410402</v>
      </c>
      <c r="N39" s="14">
        <f t="shared" si="2"/>
        <v>0</v>
      </c>
      <c r="O39" s="14"/>
      <c r="P39" s="14">
        <f t="shared" si="2"/>
        <v>1</v>
      </c>
    </row>
  </sheetData>
  <sheetProtection/>
  <printOptions/>
  <pageMargins left="0.75" right="0.75" top="1" bottom="0.22" header="0.17" footer="0.17"/>
  <pageSetup fitToHeight="1" fitToWidth="1" horizontalDpi="600" verticalDpi="600" orientation="landscape" scale="6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C4">
      <selection activeCell="O9" sqref="O9"/>
    </sheetView>
  </sheetViews>
  <sheetFormatPr defaultColWidth="9.140625" defaultRowHeight="12.75"/>
  <cols>
    <col min="1" max="1" width="16.28125" style="0" customWidth="1"/>
    <col min="2" max="2" width="12.8515625" style="0" customWidth="1"/>
    <col min="3" max="3" width="12.140625" style="1" bestFit="1" customWidth="1"/>
    <col min="4" max="4" width="11.421875" style="1" customWidth="1"/>
    <col min="5" max="5" width="15.8515625" style="1" customWidth="1"/>
    <col min="6" max="6" width="11.8515625" style="1" customWidth="1"/>
    <col min="7" max="7" width="10.28125" style="1" customWidth="1"/>
    <col min="8" max="8" width="14.421875" style="1" bestFit="1" customWidth="1"/>
    <col min="9" max="9" width="13.57421875" style="1" customWidth="1"/>
    <col min="10" max="11" width="11.7109375" style="1" customWidth="1"/>
    <col min="12" max="14" width="9.140625" style="1" customWidth="1"/>
    <col min="15" max="15" width="13.140625" style="1" customWidth="1"/>
    <col min="16" max="16" width="10.421875" style="1" bestFit="1" customWidth="1"/>
  </cols>
  <sheetData>
    <row r="1" spans="1:5" ht="12.75">
      <c r="A1" s="13" t="s">
        <v>114</v>
      </c>
      <c r="B1" s="13"/>
      <c r="E1" s="2"/>
    </row>
    <row r="2" spans="1:5" ht="12.75">
      <c r="A2" s="13"/>
      <c r="B2" s="13"/>
      <c r="E2" s="2"/>
    </row>
    <row r="3" ht="12.75">
      <c r="E3" s="2"/>
    </row>
    <row r="4" spans="5:16" ht="12.75">
      <c r="E4" s="3" t="s">
        <v>115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5.5">
      <c r="A5" s="5" t="s">
        <v>8</v>
      </c>
      <c r="B5" s="5" t="s">
        <v>195</v>
      </c>
      <c r="C5" s="7" t="s">
        <v>9</v>
      </c>
      <c r="D5" s="6" t="s">
        <v>197</v>
      </c>
      <c r="E5" s="7" t="s">
        <v>120</v>
      </c>
      <c r="F5" s="7"/>
      <c r="G5" s="7"/>
      <c r="H5" s="7" t="s">
        <v>11</v>
      </c>
      <c r="I5" s="7"/>
      <c r="J5" s="7"/>
      <c r="K5" s="7"/>
      <c r="L5" s="7"/>
      <c r="M5" s="7"/>
      <c r="N5" s="7"/>
      <c r="O5" s="7" t="s">
        <v>202</v>
      </c>
      <c r="P5" s="8"/>
    </row>
    <row r="6" spans="3:16" ht="12.75">
      <c r="C6" s="9" t="s">
        <v>12</v>
      </c>
      <c r="D6" s="9" t="s">
        <v>13</v>
      </c>
      <c r="E6" s="9" t="s">
        <v>10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 t="s">
        <v>198</v>
      </c>
      <c r="P6" s="9" t="s">
        <v>23</v>
      </c>
    </row>
    <row r="9" spans="1:16" ht="12.75">
      <c r="A9" s="10">
        <v>39583</v>
      </c>
      <c r="B9" s="185">
        <f>'[2]CC Summary'!B17</f>
        <v>0</v>
      </c>
      <c r="C9" s="185">
        <f>'[2]CC Summary'!C17</f>
        <v>12.5</v>
      </c>
      <c r="D9" s="185">
        <f>'[2]CC Summary'!D17</f>
        <v>21</v>
      </c>
      <c r="E9" s="185">
        <f>'[2]CC Summary'!E17</f>
        <v>70</v>
      </c>
      <c r="F9" s="185">
        <f>'[2]CC Summary'!F17</f>
        <v>0</v>
      </c>
      <c r="G9" s="185">
        <f>'[2]CC Summary'!G17</f>
        <v>0</v>
      </c>
      <c r="H9" s="185">
        <f>'[2]CC Summary'!H17</f>
        <v>0</v>
      </c>
      <c r="I9" s="185">
        <f>'[2]CC Summary'!I17</f>
        <v>0</v>
      </c>
      <c r="J9" s="185">
        <f>'[2]CC Summary'!J17</f>
        <v>263.5</v>
      </c>
      <c r="K9" s="185">
        <f>'[2]CC Summary'!K17</f>
        <v>45.5</v>
      </c>
      <c r="L9" s="185">
        <f>'[2]CC Summary'!L17</f>
        <v>0</v>
      </c>
      <c r="M9" s="185">
        <f>'[2]CC Summary'!M17</f>
        <v>0</v>
      </c>
      <c r="N9" s="185">
        <f>'[2]CC Summary'!N17</f>
        <v>0</v>
      </c>
      <c r="O9" s="185">
        <f>'[2]CC Summary'!O17</f>
        <v>0</v>
      </c>
      <c r="P9" s="85">
        <f>SUM(C9:O9)</f>
        <v>412.5</v>
      </c>
    </row>
    <row r="10" spans="1:16" ht="12.75">
      <c r="A10" s="10">
        <v>39599</v>
      </c>
      <c r="B10" s="185">
        <f>'[2]CC Summary'!B18</f>
        <v>0</v>
      </c>
      <c r="C10" s="185">
        <f>'[2]CC Summary'!C18</f>
        <v>15</v>
      </c>
      <c r="D10" s="185">
        <f>'[2]CC Summary'!D18</f>
        <v>76.5</v>
      </c>
      <c r="E10" s="185">
        <f>'[2]CC Summary'!E18</f>
        <v>58</v>
      </c>
      <c r="F10" s="185">
        <f>'[2]CC Summary'!F18</f>
        <v>0</v>
      </c>
      <c r="G10" s="185">
        <f>'[2]CC Summary'!G18</f>
        <v>0</v>
      </c>
      <c r="H10" s="185">
        <f>'[2]CC Summary'!H18</f>
        <v>0</v>
      </c>
      <c r="I10" s="185">
        <f>'[2]CC Summary'!I18</f>
        <v>0</v>
      </c>
      <c r="J10" s="185">
        <f>'[2]CC Summary'!J18</f>
        <v>219.25</v>
      </c>
      <c r="K10" s="185">
        <f>'[2]CC Summary'!K18</f>
        <v>43.75</v>
      </c>
      <c r="L10" s="185">
        <f>'[2]CC Summary'!L18</f>
        <v>0</v>
      </c>
      <c r="M10" s="185">
        <f>'[2]CC Summary'!M18</f>
        <v>0</v>
      </c>
      <c r="N10" s="185">
        <f>'[2]CC Summary'!N18</f>
        <v>0</v>
      </c>
      <c r="O10" s="185">
        <f>'[2]CC Summary'!O18</f>
        <v>0</v>
      </c>
      <c r="P10" s="85">
        <f aca="true" t="shared" si="0" ref="P10:P32">SUM(C10:O10)</f>
        <v>412.5</v>
      </c>
    </row>
    <row r="11" spans="1:16" ht="12.75">
      <c r="A11" s="10">
        <v>39614</v>
      </c>
      <c r="B11" s="185">
        <f>'[2]CC Summary'!B19</f>
        <v>0</v>
      </c>
      <c r="C11" s="185">
        <f>'[2]CC Summary'!C19</f>
        <v>25</v>
      </c>
      <c r="D11" s="185">
        <f>'[2]CC Summary'!D19</f>
        <v>12.25</v>
      </c>
      <c r="E11" s="185">
        <f>'[2]CC Summary'!E19</f>
        <v>46.5</v>
      </c>
      <c r="F11" s="185">
        <f>'[2]CC Summary'!F19</f>
        <v>0</v>
      </c>
      <c r="G11" s="185">
        <f>'[2]CC Summary'!G19</f>
        <v>0</v>
      </c>
      <c r="H11" s="185">
        <f>'[2]CC Summary'!H19</f>
        <v>0</v>
      </c>
      <c r="I11" s="185">
        <f>'[2]CC Summary'!I19</f>
        <v>0</v>
      </c>
      <c r="J11" s="185">
        <f>'[2]CC Summary'!J19</f>
        <v>244.75</v>
      </c>
      <c r="K11" s="185">
        <f>'[2]CC Summary'!K19</f>
        <v>46.5</v>
      </c>
      <c r="L11" s="185">
        <f>'[2]CC Summary'!L19</f>
        <v>0</v>
      </c>
      <c r="M11" s="185">
        <f>'[2]CC Summary'!M19</f>
        <v>0</v>
      </c>
      <c r="N11" s="185">
        <f>'[2]CC Summary'!N19</f>
        <v>0</v>
      </c>
      <c r="O11" s="185">
        <f>'[2]CC Summary'!O19</f>
        <v>0</v>
      </c>
      <c r="P11" s="85">
        <f t="shared" si="0"/>
        <v>375</v>
      </c>
    </row>
    <row r="12" spans="1:16" ht="12.75">
      <c r="A12" s="125">
        <v>39629</v>
      </c>
      <c r="B12" s="185">
        <f>'[2]CC Summary'!B20</f>
        <v>0</v>
      </c>
      <c r="C12" s="185">
        <f>'[2]CC Summary'!C20</f>
        <v>25</v>
      </c>
      <c r="D12" s="185">
        <f>'[2]CC Summary'!D20</f>
        <v>14</v>
      </c>
      <c r="E12" s="185">
        <f>'[2]CC Summary'!E20</f>
        <v>50</v>
      </c>
      <c r="F12" s="185">
        <f>'[2]CC Summary'!F20</f>
        <v>0</v>
      </c>
      <c r="G12" s="185">
        <f>'[2]CC Summary'!G20</f>
        <v>0</v>
      </c>
      <c r="H12" s="185">
        <f>'[2]CC Summary'!H20</f>
        <v>0</v>
      </c>
      <c r="I12" s="185">
        <f>'[2]CC Summary'!I20</f>
        <v>0</v>
      </c>
      <c r="J12" s="185">
        <f>'[2]CC Summary'!J20</f>
        <v>279</v>
      </c>
      <c r="K12" s="185">
        <f>'[2]CC Summary'!K20</f>
        <v>41.5</v>
      </c>
      <c r="L12" s="185">
        <f>'[2]CC Summary'!L20</f>
        <v>0</v>
      </c>
      <c r="M12" s="185">
        <f>'[2]CC Summary'!M20</f>
        <v>0</v>
      </c>
      <c r="N12" s="185">
        <f>'[2]CC Summary'!N20</f>
        <v>0</v>
      </c>
      <c r="O12" s="185">
        <f>'[2]CC Summary'!O20</f>
        <v>3</v>
      </c>
      <c r="P12" s="85">
        <f t="shared" si="0"/>
        <v>412.5</v>
      </c>
    </row>
    <row r="13" spans="1:16" ht="12.75">
      <c r="A13" s="10">
        <v>39644</v>
      </c>
      <c r="B13" s="185">
        <f>'[2]CC Summary'!B21</f>
        <v>0</v>
      </c>
      <c r="C13" s="185">
        <f>'[2]CC Summary'!C21</f>
        <v>28</v>
      </c>
      <c r="D13" s="185">
        <f>'[2]CC Summary'!D21</f>
        <v>97.25</v>
      </c>
      <c r="E13" s="185">
        <f>'[2]CC Summary'!E21</f>
        <v>65</v>
      </c>
      <c r="F13" s="185">
        <f>'[2]CC Summary'!F21</f>
        <v>0</v>
      </c>
      <c r="G13" s="185">
        <f>'[2]CC Summary'!G21</f>
        <v>0</v>
      </c>
      <c r="H13" s="185">
        <f>'[2]CC Summary'!H21</f>
        <v>0</v>
      </c>
      <c r="I13" s="185">
        <f>'[2]CC Summary'!I21</f>
        <v>0</v>
      </c>
      <c r="J13" s="185">
        <f>'[2]CC Summary'!J21</f>
        <v>196.5</v>
      </c>
      <c r="K13" s="185">
        <f>'[2]CC Summary'!K21</f>
        <v>25.75</v>
      </c>
      <c r="L13" s="185">
        <f>'[2]CC Summary'!L21</f>
        <v>0</v>
      </c>
      <c r="M13" s="185">
        <f>'[2]CC Summary'!M21</f>
        <v>0</v>
      </c>
      <c r="N13" s="185">
        <f>'[2]CC Summary'!N21</f>
        <v>0</v>
      </c>
      <c r="O13" s="185">
        <f>'[2]CC Summary'!O21</f>
        <v>0</v>
      </c>
      <c r="P13" s="85">
        <f t="shared" si="0"/>
        <v>412.5</v>
      </c>
    </row>
    <row r="14" spans="1:16" ht="12.75">
      <c r="A14" s="10">
        <v>39660</v>
      </c>
      <c r="B14" s="185">
        <f>'[2]CC Summary'!B22</f>
        <v>0</v>
      </c>
      <c r="C14" s="185">
        <f>'[2]CC Summary'!C22</f>
        <v>18</v>
      </c>
      <c r="D14" s="185">
        <f>'[2]CC Summary'!D22</f>
        <v>82</v>
      </c>
      <c r="E14" s="185">
        <f>'[2]CC Summary'!E22</f>
        <v>48</v>
      </c>
      <c r="F14" s="185">
        <f>'[2]CC Summary'!F22</f>
        <v>0</v>
      </c>
      <c r="G14" s="185">
        <f>'[2]CC Summary'!G22</f>
        <v>0</v>
      </c>
      <c r="H14" s="185">
        <f>'[2]CC Summary'!H22</f>
        <v>0</v>
      </c>
      <c r="I14" s="185">
        <f>'[2]CC Summary'!I22</f>
        <v>0</v>
      </c>
      <c r="J14" s="185">
        <f>'[2]CC Summary'!J22</f>
        <v>214.75</v>
      </c>
      <c r="K14" s="185">
        <f>'[2]CC Summary'!K22</f>
        <v>87.25</v>
      </c>
      <c r="L14" s="185">
        <f>'[2]CC Summary'!L22</f>
        <v>0</v>
      </c>
      <c r="M14" s="185">
        <f>'[2]CC Summary'!M22</f>
        <v>0</v>
      </c>
      <c r="N14" s="185">
        <f>'[2]CC Summary'!N22</f>
        <v>0</v>
      </c>
      <c r="O14" s="185">
        <f>'[2]CC Summary'!O22</f>
        <v>0</v>
      </c>
      <c r="P14" s="85">
        <f t="shared" si="0"/>
        <v>450</v>
      </c>
    </row>
    <row r="15" spans="1:16" ht="12.75">
      <c r="A15" s="10">
        <v>39675</v>
      </c>
      <c r="B15" s="185">
        <f>'[2]CC Summary'!B23</f>
        <v>0</v>
      </c>
      <c r="C15" s="185">
        <f>'[2]CC Summary'!C23</f>
        <v>20</v>
      </c>
      <c r="D15" s="185">
        <f>'[2]CC Summary'!D23</f>
        <v>20.75</v>
      </c>
      <c r="E15" s="185">
        <f>'[2]CC Summary'!E23</f>
        <v>43.75</v>
      </c>
      <c r="F15" s="185">
        <f>'[2]CC Summary'!F23</f>
        <v>0</v>
      </c>
      <c r="G15" s="185">
        <f>'[2]CC Summary'!G23</f>
        <v>0</v>
      </c>
      <c r="H15" s="185">
        <f>'[2]CC Summary'!H23</f>
        <v>0</v>
      </c>
      <c r="I15" s="185">
        <f>'[2]CC Summary'!I23</f>
        <v>0</v>
      </c>
      <c r="J15" s="185">
        <f>'[2]CC Summary'!J23</f>
        <v>268.75</v>
      </c>
      <c r="K15" s="185">
        <f>'[2]CC Summary'!K23</f>
        <v>58.75</v>
      </c>
      <c r="L15" s="185">
        <f>'[2]CC Summary'!L23</f>
        <v>0</v>
      </c>
      <c r="M15" s="185">
        <f>'[2]CC Summary'!M23</f>
        <v>0</v>
      </c>
      <c r="N15" s="185">
        <f>'[2]CC Summary'!N23</f>
        <v>0</v>
      </c>
      <c r="O15" s="185">
        <f>'[2]CC Summary'!O23</f>
        <v>0.5</v>
      </c>
      <c r="P15" s="85">
        <f t="shared" si="0"/>
        <v>412.5</v>
      </c>
    </row>
    <row r="16" spans="1:16" ht="12.75">
      <c r="A16" s="10">
        <v>39691</v>
      </c>
      <c r="B16" s="185">
        <f>'[2]CC Summary'!B24</f>
        <v>0</v>
      </c>
      <c r="C16" s="185">
        <f>'[2]CC Summary'!C24</f>
        <v>16</v>
      </c>
      <c r="D16" s="185">
        <f>'[2]CC Summary'!D24</f>
        <v>98.5</v>
      </c>
      <c r="E16" s="185">
        <f>'[2]CC Summary'!E24</f>
        <v>37</v>
      </c>
      <c r="F16" s="185">
        <f>'[2]CC Summary'!F24</f>
        <v>0</v>
      </c>
      <c r="G16" s="185">
        <f>'[2]CC Summary'!G24</f>
        <v>0</v>
      </c>
      <c r="H16" s="185">
        <f>'[2]CC Summary'!H24</f>
        <v>0</v>
      </c>
      <c r="I16" s="185">
        <f>'[2]CC Summary'!I24</f>
        <v>0</v>
      </c>
      <c r="J16" s="185">
        <f>'[2]CC Summary'!J24</f>
        <v>199</v>
      </c>
      <c r="K16" s="185">
        <f>'[2]CC Summary'!K24</f>
        <v>24</v>
      </c>
      <c r="L16" s="185">
        <f>'[2]CC Summary'!L24</f>
        <v>0</v>
      </c>
      <c r="M16" s="185">
        <f>'[2]CC Summary'!M24</f>
        <v>0</v>
      </c>
      <c r="N16" s="185">
        <f>'[2]CC Summary'!N24</f>
        <v>0</v>
      </c>
      <c r="O16" s="185">
        <f>'[2]CC Summary'!O24</f>
        <v>0.5</v>
      </c>
      <c r="P16" s="85">
        <f t="shared" si="0"/>
        <v>375</v>
      </c>
    </row>
    <row r="17" spans="1:16" ht="12.75">
      <c r="A17" s="10">
        <v>39706</v>
      </c>
      <c r="B17" s="185">
        <f>'[2]CC Summary'!B25</f>
        <v>0</v>
      </c>
      <c r="C17" s="185">
        <f>'[2]CC Summary'!C25</f>
        <v>23.75</v>
      </c>
      <c r="D17" s="185">
        <f>'[2]CC Summary'!D25</f>
        <v>96</v>
      </c>
      <c r="E17" s="185">
        <f>'[2]CC Summary'!E25</f>
        <v>62.25</v>
      </c>
      <c r="F17" s="185">
        <f>'[2]CC Summary'!F25</f>
        <v>0</v>
      </c>
      <c r="G17" s="185">
        <f>'[2]CC Summary'!G25</f>
        <v>0</v>
      </c>
      <c r="H17" s="185">
        <f>'[2]CC Summary'!H25</f>
        <v>0</v>
      </c>
      <c r="I17" s="185">
        <f>'[2]CC Summary'!I25</f>
        <v>0</v>
      </c>
      <c r="J17" s="185">
        <f>'[2]CC Summary'!J25</f>
        <v>182.5</v>
      </c>
      <c r="K17" s="185">
        <f>'[2]CC Summary'!K25</f>
        <v>48</v>
      </c>
      <c r="L17" s="185">
        <f>'[2]CC Summary'!L25</f>
        <v>0</v>
      </c>
      <c r="M17" s="185">
        <f>'[2]CC Summary'!M25</f>
        <v>0</v>
      </c>
      <c r="N17" s="185">
        <f>'[2]CC Summary'!N25</f>
        <v>0</v>
      </c>
      <c r="O17" s="185">
        <f>'[2]CC Summary'!O25</f>
        <v>0</v>
      </c>
      <c r="P17" s="85">
        <f t="shared" si="0"/>
        <v>412.5</v>
      </c>
    </row>
    <row r="18" spans="1:16" ht="12.75">
      <c r="A18" s="10">
        <v>39721</v>
      </c>
      <c r="B18" s="185">
        <f>'[2]CC Summary'!B26</f>
        <v>0</v>
      </c>
      <c r="C18" s="185">
        <f>'[2]CC Summary'!C26</f>
        <v>15.25</v>
      </c>
      <c r="D18" s="185">
        <f>'[2]CC Summary'!D26</f>
        <v>31</v>
      </c>
      <c r="E18" s="185">
        <f>'[2]CC Summary'!E26</f>
        <v>79.75</v>
      </c>
      <c r="F18" s="185">
        <f>'[2]CC Summary'!F26</f>
        <v>0</v>
      </c>
      <c r="G18" s="185">
        <f>'[2]CC Summary'!G26</f>
        <v>0</v>
      </c>
      <c r="H18" s="185">
        <f>'[2]CC Summary'!H26</f>
        <v>0</v>
      </c>
      <c r="I18" s="185">
        <f>'[2]CC Summary'!I26</f>
        <v>0</v>
      </c>
      <c r="J18" s="185">
        <f>'[2]CC Summary'!J26</f>
        <v>240</v>
      </c>
      <c r="K18" s="185">
        <f>'[2]CC Summary'!K26</f>
        <v>46</v>
      </c>
      <c r="L18" s="185">
        <f>'[2]CC Summary'!L26</f>
        <v>0</v>
      </c>
      <c r="M18" s="185">
        <f>'[2]CC Summary'!M26</f>
        <v>0</v>
      </c>
      <c r="N18" s="185">
        <f>'[2]CC Summary'!N26</f>
        <v>0</v>
      </c>
      <c r="O18" s="185">
        <f>'[2]CC Summary'!O26</f>
        <v>0.5</v>
      </c>
      <c r="P18" s="85">
        <f t="shared" si="0"/>
        <v>412.5</v>
      </c>
    </row>
    <row r="19" spans="1:16" ht="12.75">
      <c r="A19" s="10">
        <v>39736</v>
      </c>
      <c r="B19" s="185">
        <f>'[2]CC Summary'!B27</f>
        <v>0</v>
      </c>
      <c r="C19" s="185">
        <f>'[2]CC Summary'!C27</f>
        <v>15</v>
      </c>
      <c r="D19" s="185">
        <f>'[2]CC Summary'!D27</f>
        <v>49.75</v>
      </c>
      <c r="E19" s="185">
        <f>'[2]CC Summary'!E27</f>
        <v>31.5</v>
      </c>
      <c r="F19" s="185">
        <f>'[2]CC Summary'!F27</f>
        <v>0</v>
      </c>
      <c r="G19" s="185">
        <f>'[2]CC Summary'!G27</f>
        <v>0</v>
      </c>
      <c r="H19" s="185">
        <f>'[2]CC Summary'!H27</f>
        <v>0</v>
      </c>
      <c r="I19" s="185">
        <f>'[2]CC Summary'!I27</f>
        <v>0</v>
      </c>
      <c r="J19" s="185">
        <f>'[2]CC Summary'!J27</f>
        <v>252</v>
      </c>
      <c r="K19" s="185">
        <f>'[2]CC Summary'!K27</f>
        <v>64.25</v>
      </c>
      <c r="L19" s="185">
        <f>'[2]CC Summary'!L27</f>
        <v>0</v>
      </c>
      <c r="M19" s="185">
        <f>'[2]CC Summary'!M27</f>
        <v>0</v>
      </c>
      <c r="N19" s="185">
        <f>'[2]CC Summary'!N27</f>
        <v>0</v>
      </c>
      <c r="O19" s="185">
        <f>'[2]CC Summary'!O27</f>
        <v>0</v>
      </c>
      <c r="P19" s="85">
        <f t="shared" si="0"/>
        <v>412.5</v>
      </c>
    </row>
    <row r="20" spans="1:16" ht="12.75">
      <c r="A20" s="10">
        <v>39752</v>
      </c>
      <c r="B20" s="185">
        <f>'[2]CC Summary'!B28</f>
        <v>0</v>
      </c>
      <c r="C20" s="185">
        <f>'[2]CC Summary'!C28</f>
        <v>17.75</v>
      </c>
      <c r="D20" s="185">
        <f>'[2]CC Summary'!D28</f>
        <v>75.25</v>
      </c>
      <c r="E20" s="185">
        <f>'[2]CC Summary'!E28</f>
        <v>51</v>
      </c>
      <c r="F20" s="185">
        <f>'[2]CC Summary'!F28</f>
        <v>0</v>
      </c>
      <c r="G20" s="185">
        <f>'[2]CC Summary'!G28</f>
        <v>0</v>
      </c>
      <c r="H20" s="185">
        <f>'[2]CC Summary'!H28</f>
        <v>0</v>
      </c>
      <c r="I20" s="185">
        <f>'[2]CC Summary'!I28</f>
        <v>0</v>
      </c>
      <c r="J20" s="185">
        <f>'[2]CC Summary'!J28</f>
        <v>232</v>
      </c>
      <c r="K20" s="185">
        <f>'[2]CC Summary'!K28</f>
        <v>71.5</v>
      </c>
      <c r="L20" s="185">
        <f>'[2]CC Summary'!L28</f>
        <v>0</v>
      </c>
      <c r="M20" s="185">
        <f>'[2]CC Summary'!M28</f>
        <v>0</v>
      </c>
      <c r="N20" s="185">
        <f>'[2]CC Summary'!N28</f>
        <v>0</v>
      </c>
      <c r="O20" s="185">
        <f>'[2]CC Summary'!O28</f>
        <v>2.5</v>
      </c>
      <c r="P20" s="85">
        <f t="shared" si="0"/>
        <v>450</v>
      </c>
    </row>
    <row r="21" spans="1:16" ht="12.75">
      <c r="A21" s="10">
        <v>39767</v>
      </c>
      <c r="B21" s="185">
        <f>'[2]CC Summary'!B29</f>
        <v>0</v>
      </c>
      <c r="C21" s="185">
        <f>'[2]CC Summary'!C29</f>
        <v>14.5</v>
      </c>
      <c r="D21" s="185">
        <f>'[2]CC Summary'!D29</f>
        <v>122.5</v>
      </c>
      <c r="E21" s="185">
        <f>'[2]CC Summary'!E29</f>
        <v>82.5</v>
      </c>
      <c r="F21" s="185">
        <f>'[2]CC Summary'!F29</f>
        <v>0</v>
      </c>
      <c r="G21" s="185">
        <f>'[2]CC Summary'!G29</f>
        <v>0</v>
      </c>
      <c r="H21" s="185">
        <f>'[2]CC Summary'!H29</f>
        <v>0</v>
      </c>
      <c r="I21" s="185">
        <f>'[2]CC Summary'!I29</f>
        <v>0</v>
      </c>
      <c r="J21" s="185">
        <f>'[2]CC Summary'!J29</f>
        <v>87.5</v>
      </c>
      <c r="K21" s="185">
        <f>'[2]CC Summary'!K29</f>
        <v>66.5</v>
      </c>
      <c r="L21" s="185">
        <f>'[2]CC Summary'!L29</f>
        <v>0</v>
      </c>
      <c r="M21" s="185">
        <f>'[2]CC Summary'!M29</f>
        <v>0</v>
      </c>
      <c r="N21" s="185">
        <f>'[2]CC Summary'!N29</f>
        <v>0</v>
      </c>
      <c r="O21" s="185">
        <f>'[2]CC Summary'!O29</f>
        <v>1.5</v>
      </c>
      <c r="P21" s="85">
        <f t="shared" si="0"/>
        <v>375</v>
      </c>
    </row>
    <row r="22" spans="1:16" ht="12.75">
      <c r="A22" s="10">
        <v>39782</v>
      </c>
      <c r="B22" s="185">
        <f>'[2]CC Summary'!B30</f>
        <v>0</v>
      </c>
      <c r="C22" s="185">
        <f>'[2]CC Summary'!C30</f>
        <v>29</v>
      </c>
      <c r="D22" s="185">
        <f>'[2]CC Summary'!D30</f>
        <v>85.5</v>
      </c>
      <c r="E22" s="185">
        <f>'[2]CC Summary'!E30</f>
        <v>39.5</v>
      </c>
      <c r="F22" s="185">
        <f>'[2]CC Summary'!F30</f>
        <v>0</v>
      </c>
      <c r="G22" s="185">
        <f>'[2]CC Summary'!G30</f>
        <v>0</v>
      </c>
      <c r="H22" s="185">
        <f>'[2]CC Summary'!H30</f>
        <v>0</v>
      </c>
      <c r="I22" s="185">
        <f>'[2]CC Summary'!I30</f>
        <v>0</v>
      </c>
      <c r="J22" s="185">
        <f>'[2]CC Summary'!J30</f>
        <v>181</v>
      </c>
      <c r="K22" s="185">
        <f>'[2]CC Summary'!K30</f>
        <v>40</v>
      </c>
      <c r="L22" s="185">
        <f>'[2]CC Summary'!L30</f>
        <v>0</v>
      </c>
      <c r="M22" s="185">
        <f>'[2]CC Summary'!M30</f>
        <v>0</v>
      </c>
      <c r="N22" s="185">
        <f>'[2]CC Summary'!N30</f>
        <v>0</v>
      </c>
      <c r="O22" s="185">
        <f>'[2]CC Summary'!O30</f>
        <v>0</v>
      </c>
      <c r="P22" s="85">
        <f t="shared" si="0"/>
        <v>375</v>
      </c>
    </row>
    <row r="23" spans="1:16" ht="12.75">
      <c r="A23" s="10">
        <v>39797</v>
      </c>
      <c r="B23" s="185">
        <f>'[2]CC Summary'!B31</f>
        <v>0</v>
      </c>
      <c r="C23" s="185">
        <f>'[2]CC Summary'!C31</f>
        <v>27</v>
      </c>
      <c r="D23" s="185">
        <f>'[2]CC Summary'!D31</f>
        <v>8.5</v>
      </c>
      <c r="E23" s="185">
        <f>'[2]CC Summary'!E31</f>
        <v>84</v>
      </c>
      <c r="F23" s="185">
        <f>'[2]CC Summary'!F31</f>
        <v>0</v>
      </c>
      <c r="G23" s="185">
        <f>'[2]CC Summary'!G31</f>
        <v>0</v>
      </c>
      <c r="H23" s="185">
        <f>'[2]CC Summary'!H31</f>
        <v>0</v>
      </c>
      <c r="I23" s="185">
        <f>'[2]CC Summary'!I31</f>
        <v>0</v>
      </c>
      <c r="J23" s="185">
        <f>'[2]CC Summary'!J31</f>
        <v>234.5</v>
      </c>
      <c r="K23" s="185">
        <f>'[2]CC Summary'!K31</f>
        <v>58</v>
      </c>
      <c r="L23" s="185">
        <f>'[2]CC Summary'!L31</f>
        <v>0</v>
      </c>
      <c r="M23" s="185">
        <f>'[2]CC Summary'!M31</f>
        <v>0</v>
      </c>
      <c r="N23" s="185">
        <f>'[2]CC Summary'!N31</f>
        <v>0</v>
      </c>
      <c r="O23" s="185">
        <f>'[2]CC Summary'!O31</f>
        <v>0.5</v>
      </c>
      <c r="P23" s="85">
        <f t="shared" si="0"/>
        <v>412.5</v>
      </c>
    </row>
    <row r="24" spans="1:16" ht="12.75">
      <c r="A24" s="10">
        <v>39813</v>
      </c>
      <c r="B24" s="185">
        <f>'[2]CC Summary'!B32</f>
        <v>0</v>
      </c>
      <c r="C24" s="185">
        <f>'[2]CC Summary'!C32</f>
        <v>24.5</v>
      </c>
      <c r="D24" s="185">
        <f>'[2]CC Summary'!D32</f>
        <v>131</v>
      </c>
      <c r="E24" s="185">
        <f>'[2]CC Summary'!E32</f>
        <v>42.5</v>
      </c>
      <c r="F24" s="185">
        <f>'[2]CC Summary'!F32</f>
        <v>0</v>
      </c>
      <c r="G24" s="185">
        <f>'[2]CC Summary'!G32</f>
        <v>0</v>
      </c>
      <c r="H24" s="185">
        <f>'[2]CC Summary'!H32</f>
        <v>0</v>
      </c>
      <c r="I24" s="185">
        <f>'[2]CC Summary'!I32</f>
        <v>0</v>
      </c>
      <c r="J24" s="185">
        <f>'[2]CC Summary'!J32</f>
        <v>188</v>
      </c>
      <c r="K24" s="185">
        <f>'[2]CC Summary'!K32</f>
        <v>63.5</v>
      </c>
      <c r="L24" s="185">
        <f>'[2]CC Summary'!L32</f>
        <v>0</v>
      </c>
      <c r="M24" s="185">
        <f>'[2]CC Summary'!M32</f>
        <v>0</v>
      </c>
      <c r="N24" s="185">
        <f>'[2]CC Summary'!N32</f>
        <v>0</v>
      </c>
      <c r="O24" s="185">
        <f>'[2]CC Summary'!O32</f>
        <v>0.5</v>
      </c>
      <c r="P24" s="85">
        <f t="shared" si="0"/>
        <v>450</v>
      </c>
    </row>
    <row r="25" spans="1:16" ht="12.75">
      <c r="A25" s="10">
        <v>39828</v>
      </c>
      <c r="B25" s="185">
        <f>'[3]CC Summary'!B9</f>
        <v>0</v>
      </c>
      <c r="C25" s="185">
        <f>'[3]CC Summary'!C9</f>
        <v>40</v>
      </c>
      <c r="D25" s="185">
        <f>'[3]CC Summary'!D9</f>
        <v>144.75</v>
      </c>
      <c r="E25" s="185">
        <f>'[3]CC Summary'!E9</f>
        <v>15</v>
      </c>
      <c r="F25" s="185">
        <f>'[3]CC Summary'!F9</f>
        <v>0</v>
      </c>
      <c r="G25" s="185">
        <f>'[3]CC Summary'!G9</f>
        <v>0</v>
      </c>
      <c r="H25" s="185">
        <f>'[3]CC Summary'!H9</f>
        <v>0</v>
      </c>
      <c r="I25" s="185">
        <f>'[3]CC Summary'!I9</f>
        <v>0</v>
      </c>
      <c r="J25" s="185">
        <f>'[3]CC Summary'!J9</f>
        <v>157</v>
      </c>
      <c r="K25" s="185">
        <f>'[3]CC Summary'!K9</f>
        <v>55.25</v>
      </c>
      <c r="L25" s="185">
        <f>'[3]CC Summary'!L9</f>
        <v>0</v>
      </c>
      <c r="M25" s="185">
        <f>'[3]CC Summary'!M9</f>
        <v>0</v>
      </c>
      <c r="N25" s="185">
        <f>'[3]CC Summary'!N9</f>
        <v>0</v>
      </c>
      <c r="O25" s="185">
        <f>'[3]CC Summary'!O9</f>
        <v>0.5</v>
      </c>
      <c r="P25" s="85">
        <f t="shared" si="0"/>
        <v>412.5</v>
      </c>
    </row>
    <row r="26" spans="1:16" ht="12.75">
      <c r="A26" s="10">
        <v>39844</v>
      </c>
      <c r="B26" s="185">
        <f>'[3]CC Summary'!B10</f>
        <v>0</v>
      </c>
      <c r="C26" s="185">
        <f>'[3]CC Summary'!C10</f>
        <v>45.5</v>
      </c>
      <c r="D26" s="185">
        <f>'[3]CC Summary'!D10</f>
        <v>85.75</v>
      </c>
      <c r="E26" s="185">
        <f>'[3]CC Summary'!E10</f>
        <v>35.5</v>
      </c>
      <c r="F26" s="185">
        <f>'[3]CC Summary'!F10</f>
        <v>0</v>
      </c>
      <c r="G26" s="185">
        <f>'[3]CC Summary'!G10</f>
        <v>0</v>
      </c>
      <c r="H26" s="185">
        <f>'[3]CC Summary'!H10</f>
        <v>0</v>
      </c>
      <c r="I26" s="185">
        <f>'[3]CC Summary'!I10</f>
        <v>0</v>
      </c>
      <c r="J26" s="185">
        <f>'[3]CC Summary'!J10</f>
        <v>174.75</v>
      </c>
      <c r="K26" s="185">
        <f>'[3]CC Summary'!K10</f>
        <v>70.5</v>
      </c>
      <c r="L26" s="185">
        <f>'[3]CC Summary'!L10</f>
        <v>0</v>
      </c>
      <c r="M26" s="185">
        <f>'[3]CC Summary'!M10</f>
        <v>0</v>
      </c>
      <c r="N26" s="185">
        <f>'[3]CC Summary'!N10</f>
        <v>0</v>
      </c>
      <c r="O26" s="185">
        <f>'[3]CC Summary'!O10</f>
        <v>0.5</v>
      </c>
      <c r="P26" s="85">
        <f t="shared" si="0"/>
        <v>412.5</v>
      </c>
    </row>
    <row r="27" spans="1:16" ht="12.75">
      <c r="A27" s="10">
        <v>39859</v>
      </c>
      <c r="B27" s="185">
        <f>'[3]CC Summary'!B11</f>
        <v>0</v>
      </c>
      <c r="C27" s="185">
        <f>'[3]CC Summary'!C11</f>
        <v>58</v>
      </c>
      <c r="D27" s="185">
        <f>'[3]CC Summary'!D11</f>
        <v>3.5</v>
      </c>
      <c r="E27" s="185">
        <f>'[3]CC Summary'!E11</f>
        <v>38</v>
      </c>
      <c r="F27" s="185">
        <f>'[3]CC Summary'!F11</f>
        <v>0</v>
      </c>
      <c r="G27" s="185">
        <f>'[3]CC Summary'!G11</f>
        <v>0</v>
      </c>
      <c r="H27" s="185">
        <f>'[3]CC Summary'!H11</f>
        <v>0</v>
      </c>
      <c r="I27" s="185">
        <f>'[3]CC Summary'!I11</f>
        <v>0</v>
      </c>
      <c r="J27" s="185">
        <f>'[3]CC Summary'!J11</f>
        <v>198.5</v>
      </c>
      <c r="K27" s="185">
        <f>'[3]CC Summary'!K11</f>
        <v>75.5</v>
      </c>
      <c r="L27" s="185">
        <f>'[3]CC Summary'!L11</f>
        <v>0</v>
      </c>
      <c r="M27" s="185">
        <f>'[3]CC Summary'!M11</f>
        <v>0</v>
      </c>
      <c r="N27" s="185">
        <f>'[3]CC Summary'!N11</f>
        <v>0</v>
      </c>
      <c r="O27" s="185">
        <f>'[3]CC Summary'!O11</f>
        <v>1.5</v>
      </c>
      <c r="P27" s="85">
        <f t="shared" si="0"/>
        <v>375</v>
      </c>
    </row>
    <row r="28" spans="1:16" ht="12.75">
      <c r="A28" s="10">
        <v>39872</v>
      </c>
      <c r="B28" s="185">
        <f>'[3]CC Summary'!B12</f>
        <v>0</v>
      </c>
      <c r="C28" s="185">
        <f>'[3]CC Summary'!C12</f>
        <v>25</v>
      </c>
      <c r="D28" s="185">
        <f>'[3]CC Summary'!D12</f>
        <v>37.5</v>
      </c>
      <c r="E28" s="185">
        <f>'[3]CC Summary'!E12</f>
        <v>12</v>
      </c>
      <c r="F28" s="185">
        <f>'[3]CC Summary'!F12</f>
        <v>0</v>
      </c>
      <c r="G28" s="185">
        <f>'[3]CC Summary'!G12</f>
        <v>0</v>
      </c>
      <c r="H28" s="185">
        <f>'[3]CC Summary'!H12</f>
        <v>0</v>
      </c>
      <c r="I28" s="185">
        <f>'[3]CC Summary'!I12</f>
        <v>0</v>
      </c>
      <c r="J28" s="185">
        <f>'[3]CC Summary'!J12</f>
        <v>206.5</v>
      </c>
      <c r="K28" s="185">
        <f>'[3]CC Summary'!K12</f>
        <v>92</v>
      </c>
      <c r="L28" s="185">
        <f>'[3]CC Summary'!L12</f>
        <v>0</v>
      </c>
      <c r="M28" s="185">
        <f>'[3]CC Summary'!M12</f>
        <v>0</v>
      </c>
      <c r="N28" s="185">
        <f>'[3]CC Summary'!N12</f>
        <v>0</v>
      </c>
      <c r="O28" s="185">
        <f>'[3]CC Summary'!O12</f>
        <v>2</v>
      </c>
      <c r="P28" s="85">
        <f t="shared" si="0"/>
        <v>375</v>
      </c>
    </row>
    <row r="29" spans="1:16" ht="12.75">
      <c r="A29" s="10">
        <v>39887</v>
      </c>
      <c r="B29" s="185">
        <f>'[3]CC Summary'!B13</f>
        <v>0</v>
      </c>
      <c r="C29" s="185">
        <f>'[3]CC Summary'!C13</f>
        <v>23</v>
      </c>
      <c r="D29" s="185">
        <f>'[3]CC Summary'!D13</f>
        <v>22</v>
      </c>
      <c r="E29" s="185">
        <f>'[3]CC Summary'!E13</f>
        <v>12</v>
      </c>
      <c r="F29" s="185">
        <f>'[3]CC Summary'!F13</f>
        <v>0</v>
      </c>
      <c r="G29" s="185">
        <f>'[3]CC Summary'!G13</f>
        <v>0</v>
      </c>
      <c r="H29" s="185">
        <f>'[3]CC Summary'!H13</f>
        <v>0</v>
      </c>
      <c r="I29" s="185">
        <f>'[3]CC Summary'!I13</f>
        <v>0</v>
      </c>
      <c r="J29" s="185">
        <f>'[3]CC Summary'!J13</f>
        <v>207</v>
      </c>
      <c r="K29" s="185">
        <f>'[3]CC Summary'!K13</f>
        <v>90.5</v>
      </c>
      <c r="L29" s="185">
        <f>'[3]CC Summary'!L13</f>
        <v>0</v>
      </c>
      <c r="M29" s="185">
        <f>'[3]CC Summary'!M13</f>
        <v>0</v>
      </c>
      <c r="N29" s="185">
        <f>'[3]CC Summary'!N13</f>
        <v>0</v>
      </c>
      <c r="O29" s="185">
        <f>'[3]CC Summary'!O13</f>
        <v>20.5</v>
      </c>
      <c r="P29" s="85">
        <f t="shared" si="0"/>
        <v>375</v>
      </c>
    </row>
    <row r="30" spans="1:16" ht="12.75">
      <c r="A30" s="10">
        <v>39903</v>
      </c>
      <c r="B30" s="185">
        <f>'[3]CC Summary'!B14</f>
        <v>0</v>
      </c>
      <c r="C30" s="185">
        <f>'[3]CC Summary'!C14</f>
        <v>25</v>
      </c>
      <c r="D30" s="185">
        <f>'[3]CC Summary'!D14</f>
        <v>39</v>
      </c>
      <c r="E30" s="185">
        <f>'[3]CC Summary'!E14</f>
        <v>18</v>
      </c>
      <c r="F30" s="185">
        <f>'[3]CC Summary'!F14</f>
        <v>0</v>
      </c>
      <c r="G30" s="185">
        <f>'[3]CC Summary'!G14</f>
        <v>0</v>
      </c>
      <c r="H30" s="185">
        <f>'[3]CC Summary'!H14</f>
        <v>0</v>
      </c>
      <c r="I30" s="185">
        <f>'[3]CC Summary'!I14</f>
        <v>0</v>
      </c>
      <c r="J30" s="185">
        <f>'[3]CC Summary'!J14</f>
        <v>249.75</v>
      </c>
      <c r="K30" s="185">
        <f>'[3]CC Summary'!K14</f>
        <v>81.25</v>
      </c>
      <c r="L30" s="185">
        <f>'[3]CC Summary'!L14</f>
        <v>0</v>
      </c>
      <c r="M30" s="185">
        <f>'[3]CC Summary'!M14</f>
        <v>0</v>
      </c>
      <c r="N30" s="185">
        <f>'[3]CC Summary'!N14</f>
        <v>0</v>
      </c>
      <c r="O30" s="185">
        <f>'[3]CC Summary'!O14</f>
        <v>37</v>
      </c>
      <c r="P30" s="85">
        <f t="shared" si="0"/>
        <v>450</v>
      </c>
    </row>
    <row r="31" spans="1:16" ht="12.75">
      <c r="A31" s="10">
        <v>39918</v>
      </c>
      <c r="B31" s="185">
        <f>'[3]CC Summary'!B15</f>
        <v>0</v>
      </c>
      <c r="C31" s="185">
        <f>'[3]CC Summary'!C15</f>
        <v>24.5</v>
      </c>
      <c r="D31" s="185">
        <f>'[3]CC Summary'!D15</f>
        <v>21</v>
      </c>
      <c r="E31" s="185">
        <f>'[3]CC Summary'!E15</f>
        <v>22</v>
      </c>
      <c r="F31" s="185">
        <f>'[3]CC Summary'!F15</f>
        <v>0</v>
      </c>
      <c r="G31" s="185">
        <f>'[3]CC Summary'!G15</f>
        <v>0</v>
      </c>
      <c r="H31" s="185">
        <f>'[3]CC Summary'!H15</f>
        <v>0</v>
      </c>
      <c r="I31" s="185">
        <f>'[3]CC Summary'!I15</f>
        <v>0</v>
      </c>
      <c r="J31" s="185">
        <f>'[3]CC Summary'!J15</f>
        <v>229.25</v>
      </c>
      <c r="K31" s="185">
        <f>'[3]CC Summary'!K15</f>
        <v>99.75</v>
      </c>
      <c r="L31" s="185">
        <f>'[3]CC Summary'!L15</f>
        <v>0</v>
      </c>
      <c r="M31" s="185">
        <f>'[3]CC Summary'!M15</f>
        <v>0</v>
      </c>
      <c r="N31" s="185">
        <f>'[3]CC Summary'!N15</f>
        <v>0</v>
      </c>
      <c r="O31" s="185">
        <f>'[3]CC Summary'!O15</f>
        <v>16</v>
      </c>
      <c r="P31" s="85">
        <f t="shared" si="0"/>
        <v>412.5</v>
      </c>
    </row>
    <row r="32" spans="1:16" ht="12.75">
      <c r="A32" s="10">
        <v>39933</v>
      </c>
      <c r="B32" s="185">
        <f>'[3]CC Summary'!B16</f>
        <v>0</v>
      </c>
      <c r="C32" s="185">
        <f>'[3]CC Summary'!C16</f>
        <v>30</v>
      </c>
      <c r="D32" s="185">
        <f>'[3]CC Summary'!D16</f>
        <v>13.75</v>
      </c>
      <c r="E32" s="185">
        <f>'[3]CC Summary'!E16</f>
        <v>34.5</v>
      </c>
      <c r="F32" s="185">
        <f>'[3]CC Summary'!F16</f>
        <v>0</v>
      </c>
      <c r="G32" s="185">
        <f>'[3]CC Summary'!G16</f>
        <v>0</v>
      </c>
      <c r="H32" s="185">
        <f>'[3]CC Summary'!H16</f>
        <v>0</v>
      </c>
      <c r="I32" s="185">
        <f>'[3]CC Summary'!I16</f>
        <v>0</v>
      </c>
      <c r="J32" s="185">
        <f>'[3]CC Summary'!J16</f>
        <v>203.75</v>
      </c>
      <c r="K32" s="185">
        <f>'[3]CC Summary'!K16</f>
        <v>120.25</v>
      </c>
      <c r="L32" s="185">
        <f>'[3]CC Summary'!L16</f>
        <v>0</v>
      </c>
      <c r="M32" s="185">
        <f>'[3]CC Summary'!M16</f>
        <v>0</v>
      </c>
      <c r="N32" s="185">
        <f>'[3]CC Summary'!N16</f>
        <v>0</v>
      </c>
      <c r="O32" s="185">
        <f>'[3]CC Summary'!O16</f>
        <v>10.25</v>
      </c>
      <c r="P32" s="85">
        <f t="shared" si="0"/>
        <v>412.5</v>
      </c>
    </row>
    <row r="33" spans="3:16" ht="13.5" thickBot="1">
      <c r="C33" s="11">
        <f aca="true" t="shared" si="1" ref="C33:P33">SUM(C9:C32)</f>
        <v>597.25</v>
      </c>
      <c r="D33" s="11">
        <f t="shared" si="1"/>
        <v>1389</v>
      </c>
      <c r="E33" s="11">
        <f t="shared" si="1"/>
        <v>1078.25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5109.5</v>
      </c>
      <c r="K33" s="11">
        <f t="shared" si="1"/>
        <v>1515.75</v>
      </c>
      <c r="L33" s="11">
        <f t="shared" si="1"/>
        <v>0</v>
      </c>
      <c r="M33" s="11">
        <f t="shared" si="1"/>
        <v>0</v>
      </c>
      <c r="N33" s="11">
        <f t="shared" si="1"/>
        <v>0</v>
      </c>
      <c r="O33" s="11">
        <f t="shared" si="1"/>
        <v>97.75</v>
      </c>
      <c r="P33" s="11">
        <f t="shared" si="1"/>
        <v>9787.5</v>
      </c>
    </row>
    <row r="34" ht="13.5" thickTop="1"/>
    <row r="35" spans="3:16" ht="12.75">
      <c r="C35" s="14">
        <f>+C33/P33</f>
        <v>0.06102171136653895</v>
      </c>
      <c r="D35" s="14">
        <f>+D33/P33</f>
        <v>0.14191570881226054</v>
      </c>
      <c r="E35" s="14">
        <f>+E33/P33</f>
        <v>0.11016602809706258</v>
      </c>
      <c r="F35" s="14">
        <f>+F33/P33</f>
        <v>0</v>
      </c>
      <c r="G35" s="14">
        <f>+G33/P33</f>
        <v>0</v>
      </c>
      <c r="H35" s="14">
        <f>+H33/P33</f>
        <v>0</v>
      </c>
      <c r="I35" s="14">
        <f>+I33/P33</f>
        <v>0</v>
      </c>
      <c r="J35" s="14">
        <f>+J33/P33</f>
        <v>0.5220434227330779</v>
      </c>
      <c r="K35" s="14">
        <f>+K33/P33</f>
        <v>0.15486590038314177</v>
      </c>
      <c r="L35" s="14">
        <f>+L33/P33</f>
        <v>0</v>
      </c>
      <c r="M35" s="14">
        <f>+M33/P33</f>
        <v>0</v>
      </c>
      <c r="N35" s="14">
        <f>+N33/P33</f>
        <v>0</v>
      </c>
      <c r="O35" s="14">
        <f>+O33/P33</f>
        <v>0.009987228607918263</v>
      </c>
      <c r="P35" s="14">
        <f>SUM(C35:O35)</f>
        <v>1</v>
      </c>
    </row>
    <row r="36" ht="12.75">
      <c r="O36" s="186"/>
    </row>
    <row r="37" spans="1:16" ht="13.5" thickBot="1">
      <c r="A37" t="s">
        <v>24</v>
      </c>
      <c r="F37" s="11">
        <f>+F33</f>
        <v>0</v>
      </c>
      <c r="G37" s="11">
        <f aca="true" t="shared" si="2" ref="G37:N37">+G33</f>
        <v>0</v>
      </c>
      <c r="H37" s="11">
        <f t="shared" si="2"/>
        <v>0</v>
      </c>
      <c r="I37" s="11">
        <f t="shared" si="2"/>
        <v>0</v>
      </c>
      <c r="J37" s="11">
        <f t="shared" si="2"/>
        <v>5109.5</v>
      </c>
      <c r="K37" s="11">
        <f t="shared" si="2"/>
        <v>1515.75</v>
      </c>
      <c r="L37" s="11">
        <f t="shared" si="2"/>
        <v>0</v>
      </c>
      <c r="M37" s="11">
        <f t="shared" si="2"/>
        <v>0</v>
      </c>
      <c r="N37" s="11">
        <f t="shared" si="2"/>
        <v>0</v>
      </c>
      <c r="O37" s="186"/>
      <c r="P37" s="11">
        <f>SUM(F37:N37)</f>
        <v>6625.25</v>
      </c>
    </row>
    <row r="38" ht="13.5" thickTop="1"/>
    <row r="39" spans="5:16" ht="12.75">
      <c r="E39" s="12"/>
      <c r="F39" s="14">
        <f>+F37/$P$37</f>
        <v>0</v>
      </c>
      <c r="G39" s="14">
        <f aca="true" t="shared" si="3" ref="G39:P39">+G37/$P$37</f>
        <v>0</v>
      </c>
      <c r="H39" s="14">
        <f t="shared" si="3"/>
        <v>0</v>
      </c>
      <c r="I39" s="14">
        <f t="shared" si="3"/>
        <v>0</v>
      </c>
      <c r="J39" s="14">
        <f t="shared" si="3"/>
        <v>0.7712161805214898</v>
      </c>
      <c r="K39" s="14">
        <f t="shared" si="3"/>
        <v>0.22878381947851026</v>
      </c>
      <c r="L39" s="14">
        <f t="shared" si="3"/>
        <v>0</v>
      </c>
      <c r="M39" s="14">
        <f t="shared" si="3"/>
        <v>0</v>
      </c>
      <c r="N39" s="14">
        <f t="shared" si="3"/>
        <v>0</v>
      </c>
      <c r="O39" s="14"/>
      <c r="P39" s="14">
        <f t="shared" si="3"/>
        <v>1</v>
      </c>
    </row>
    <row r="41" spans="1:2" ht="12.75">
      <c r="A41" s="10"/>
      <c r="B41" s="10"/>
    </row>
    <row r="43" spans="1:2" ht="12.75">
      <c r="A43" s="10"/>
      <c r="B43" s="10"/>
    </row>
  </sheetData>
  <sheetProtection/>
  <printOptions/>
  <pageMargins left="0.75" right="0.75" top="1" bottom="0.21" header="0.17" footer="0.17"/>
  <pageSetup fitToHeight="1" fitToWidth="1"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zoomScalePageLayoutView="0" workbookViewId="0" topLeftCell="A4">
      <selection activeCell="E25" sqref="E25"/>
    </sheetView>
  </sheetViews>
  <sheetFormatPr defaultColWidth="9.140625" defaultRowHeight="12.75"/>
  <cols>
    <col min="1" max="1" width="10.8515625" style="0" customWidth="1"/>
    <col min="2" max="2" width="14.28125" style="0" customWidth="1"/>
    <col min="3" max="3" width="13.140625" style="1" customWidth="1"/>
    <col min="4" max="4" width="11.421875" style="1" customWidth="1"/>
    <col min="5" max="5" width="15.8515625" style="1" customWidth="1"/>
    <col min="6" max="6" width="11.8515625" style="1" customWidth="1"/>
    <col min="7" max="7" width="10.28125" style="1" customWidth="1"/>
    <col min="8" max="8" width="10.140625" style="1" customWidth="1"/>
    <col min="9" max="9" width="13.57421875" style="1" customWidth="1"/>
    <col min="10" max="11" width="11.7109375" style="1" customWidth="1"/>
    <col min="12" max="14" width="9.28125" style="1" bestFit="1" customWidth="1"/>
    <col min="15" max="15" width="12.57421875" style="1" customWidth="1"/>
    <col min="16" max="16" width="10.421875" style="1" bestFit="1" customWidth="1"/>
  </cols>
  <sheetData>
    <row r="1" spans="1:5" ht="12.75">
      <c r="A1" s="13" t="s">
        <v>117</v>
      </c>
      <c r="B1" s="13"/>
      <c r="E1" s="2"/>
    </row>
    <row r="2" spans="1:5" ht="12.75">
      <c r="A2" s="13"/>
      <c r="B2" s="13"/>
      <c r="E2" s="2"/>
    </row>
    <row r="3" ht="12.75">
      <c r="E3" s="2"/>
    </row>
    <row r="4" spans="5:16" ht="12.75">
      <c r="E4" s="3" t="s">
        <v>115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8.25">
      <c r="A5" s="5" t="s">
        <v>8</v>
      </c>
      <c r="B5" s="5" t="s">
        <v>196</v>
      </c>
      <c r="C5" s="7" t="s">
        <v>9</v>
      </c>
      <c r="D5" s="6"/>
      <c r="E5" s="7" t="s">
        <v>203</v>
      </c>
      <c r="F5" s="7" t="s">
        <v>10</v>
      </c>
      <c r="G5" s="7"/>
      <c r="H5" s="7" t="s">
        <v>11</v>
      </c>
      <c r="I5" s="7"/>
      <c r="J5" s="7"/>
      <c r="K5" s="7"/>
      <c r="L5" s="7"/>
      <c r="M5" s="7"/>
      <c r="N5" s="7"/>
      <c r="O5" s="7" t="s">
        <v>202</v>
      </c>
      <c r="P5" s="8"/>
    </row>
    <row r="6" spans="3:16" ht="12.75">
      <c r="C6" s="9" t="s">
        <v>12</v>
      </c>
      <c r="D6" s="9" t="s">
        <v>13</v>
      </c>
      <c r="E6" s="9" t="s">
        <v>204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 t="s">
        <v>198</v>
      </c>
      <c r="P6" s="9" t="s">
        <v>23</v>
      </c>
    </row>
    <row r="9" spans="1:16" ht="12.75">
      <c r="A9" s="10">
        <v>39583</v>
      </c>
      <c r="B9" s="185">
        <f>'[4]Engineering Summary'!B17</f>
        <v>0</v>
      </c>
      <c r="C9" s="185">
        <f>'[4]Engineering Summary'!C17</f>
        <v>0</v>
      </c>
      <c r="D9" s="185">
        <f>'[4]Engineering Summary'!D17</f>
        <v>7.5</v>
      </c>
      <c r="E9" s="185">
        <f>'[4]Engineering Summary'!E17</f>
        <v>20</v>
      </c>
      <c r="F9" s="185">
        <f>'[4]Engineering Summary'!F17</f>
        <v>22</v>
      </c>
      <c r="G9" s="185">
        <f>'[4]Engineering Summary'!G17</f>
        <v>2</v>
      </c>
      <c r="H9" s="185">
        <f>'[4]Engineering Summary'!H17</f>
        <v>42.25</v>
      </c>
      <c r="I9" s="185">
        <f>'[4]Engineering Summary'!I17</f>
        <v>12</v>
      </c>
      <c r="J9" s="185">
        <f>'[4]Engineering Summary'!J17</f>
        <v>0</v>
      </c>
      <c r="K9" s="185">
        <f>'[4]Engineering Summary'!K17</f>
        <v>0</v>
      </c>
      <c r="L9" s="185">
        <f>'[4]Engineering Summary'!L17</f>
        <v>0</v>
      </c>
      <c r="M9" s="185">
        <f>'[4]Engineering Summary'!M17</f>
        <v>15</v>
      </c>
      <c r="N9" s="185">
        <f>'[4]Engineering Summary'!N17</f>
        <v>0</v>
      </c>
      <c r="O9" s="185">
        <f>'[4]Engineering Summary'!O17</f>
        <v>36.25</v>
      </c>
      <c r="P9" s="85">
        <f>SUM(C9:O9)</f>
        <v>157</v>
      </c>
    </row>
    <row r="10" spans="1:16" ht="12.75">
      <c r="A10" s="10">
        <v>39599</v>
      </c>
      <c r="B10" s="185">
        <f>'[4]Engineering Summary'!B18</f>
        <v>0</v>
      </c>
      <c r="C10" s="185">
        <f>'[4]Engineering Summary'!C18</f>
        <v>0</v>
      </c>
      <c r="D10" s="185">
        <f>'[4]Engineering Summary'!D18</f>
        <v>14.25</v>
      </c>
      <c r="E10" s="185">
        <f>'[4]Engineering Summary'!E18</f>
        <v>10</v>
      </c>
      <c r="F10" s="185">
        <f>'[4]Engineering Summary'!F18</f>
        <v>24.25</v>
      </c>
      <c r="G10" s="185">
        <f>'[4]Engineering Summary'!G18</f>
        <v>5</v>
      </c>
      <c r="H10" s="185">
        <f>'[4]Engineering Summary'!H18</f>
        <v>38.25</v>
      </c>
      <c r="I10" s="185">
        <f>'[4]Engineering Summary'!I18</f>
        <v>5</v>
      </c>
      <c r="J10" s="185">
        <f>'[4]Engineering Summary'!J18</f>
        <v>0</v>
      </c>
      <c r="K10" s="185">
        <f>'[4]Engineering Summary'!K18</f>
        <v>0</v>
      </c>
      <c r="L10" s="185">
        <f>'[4]Engineering Summary'!L18</f>
        <v>0</v>
      </c>
      <c r="M10" s="185">
        <f>'[4]Engineering Summary'!M18</f>
        <v>8</v>
      </c>
      <c r="N10" s="185">
        <f>'[4]Engineering Summary'!N18</f>
        <v>0</v>
      </c>
      <c r="O10" s="185">
        <f>'[4]Engineering Summary'!O18</f>
        <v>33.25</v>
      </c>
      <c r="P10" s="85">
        <f aca="true" t="shared" si="0" ref="P10:P32">SUM(C10:O10)</f>
        <v>138</v>
      </c>
    </row>
    <row r="11" spans="1:16" ht="12.75">
      <c r="A11" s="10">
        <v>39614</v>
      </c>
      <c r="B11" s="185">
        <f>'[4]Engineering Summary'!B19</f>
        <v>0</v>
      </c>
      <c r="C11" s="185">
        <f>'[4]Engineering Summary'!C19</f>
        <v>0</v>
      </c>
      <c r="D11" s="185">
        <f>'[4]Engineering Summary'!D19</f>
        <v>0</v>
      </c>
      <c r="E11" s="185">
        <f>'[4]Engineering Summary'!E19</f>
        <v>30</v>
      </c>
      <c r="F11" s="185">
        <f>'[4]Engineering Summary'!F19</f>
        <v>35</v>
      </c>
      <c r="G11" s="185">
        <f>'[4]Engineering Summary'!G19</f>
        <v>8</v>
      </c>
      <c r="H11" s="185">
        <f>'[4]Engineering Summary'!H19</f>
        <v>52</v>
      </c>
      <c r="I11" s="185">
        <f>'[4]Engineering Summary'!I19</f>
        <v>1</v>
      </c>
      <c r="J11" s="185">
        <f>'[4]Engineering Summary'!J19</f>
        <v>0</v>
      </c>
      <c r="K11" s="185">
        <f>'[4]Engineering Summary'!K19</f>
        <v>0</v>
      </c>
      <c r="L11" s="185">
        <f>'[4]Engineering Summary'!L19</f>
        <v>0</v>
      </c>
      <c r="M11" s="185">
        <f>'[4]Engineering Summary'!M19</f>
        <v>11</v>
      </c>
      <c r="N11" s="185">
        <f>'[4]Engineering Summary'!N19</f>
        <v>0</v>
      </c>
      <c r="O11" s="185">
        <f>'[4]Engineering Summary'!O19</f>
        <v>5</v>
      </c>
      <c r="P11" s="85">
        <f t="shared" si="0"/>
        <v>142</v>
      </c>
    </row>
    <row r="12" spans="1:16" ht="12.75">
      <c r="A12" s="10">
        <v>39629</v>
      </c>
      <c r="B12" s="185">
        <f>'[4]Engineering Summary'!B20</f>
        <v>0</v>
      </c>
      <c r="C12" s="185">
        <f>'[4]Engineering Summary'!C20</f>
        <v>0</v>
      </c>
      <c r="D12" s="185">
        <f>'[4]Engineering Summary'!D20</f>
        <v>26</v>
      </c>
      <c r="E12" s="185">
        <f>'[4]Engineering Summary'!E20</f>
        <v>21.25</v>
      </c>
      <c r="F12" s="185">
        <f>'[4]Engineering Summary'!F20</f>
        <v>15</v>
      </c>
      <c r="G12" s="185">
        <f>'[4]Engineering Summary'!G20</f>
        <v>16</v>
      </c>
      <c r="H12" s="185">
        <f>'[4]Engineering Summary'!H20</f>
        <v>62.25</v>
      </c>
      <c r="I12" s="185">
        <f>'[4]Engineering Summary'!I20</f>
        <v>0</v>
      </c>
      <c r="J12" s="185">
        <f>'[4]Engineering Summary'!J20</f>
        <v>0</v>
      </c>
      <c r="K12" s="185">
        <f>'[4]Engineering Summary'!K20</f>
        <v>0</v>
      </c>
      <c r="L12" s="185">
        <f>'[4]Engineering Summary'!L20</f>
        <v>0</v>
      </c>
      <c r="M12" s="185">
        <f>'[4]Engineering Summary'!M20</f>
        <v>11.5</v>
      </c>
      <c r="N12" s="185">
        <f>'[4]Engineering Summary'!N20</f>
        <v>0</v>
      </c>
      <c r="O12" s="185">
        <f>'[4]Engineering Summary'!O20</f>
        <v>5</v>
      </c>
      <c r="P12" s="85">
        <f t="shared" si="0"/>
        <v>157</v>
      </c>
    </row>
    <row r="13" spans="1:16" ht="12.75">
      <c r="A13" s="10">
        <v>39644</v>
      </c>
      <c r="B13" s="185">
        <f>'[4]Engineering Summary'!B21</f>
        <v>0</v>
      </c>
      <c r="C13" s="185">
        <f>'[4]Engineering Summary'!C21</f>
        <v>0</v>
      </c>
      <c r="D13" s="185">
        <f>'[4]Engineering Summary'!D21</f>
        <v>11</v>
      </c>
      <c r="E13" s="185">
        <f>'[4]Engineering Summary'!E21</f>
        <v>34.25</v>
      </c>
      <c r="F13" s="185">
        <f>'[4]Engineering Summary'!F21</f>
        <v>7.5</v>
      </c>
      <c r="G13" s="185">
        <f>'[4]Engineering Summary'!G21</f>
        <v>6</v>
      </c>
      <c r="H13" s="185">
        <f>'[4]Engineering Summary'!H21</f>
        <v>50.75</v>
      </c>
      <c r="I13" s="185">
        <f>'[4]Engineering Summary'!I21</f>
        <v>0.5</v>
      </c>
      <c r="J13" s="185">
        <f>'[4]Engineering Summary'!J21</f>
        <v>0</v>
      </c>
      <c r="K13" s="185">
        <f>'[4]Engineering Summary'!K21</f>
        <v>0</v>
      </c>
      <c r="L13" s="185">
        <f>'[4]Engineering Summary'!L21</f>
        <v>0</v>
      </c>
      <c r="M13" s="185">
        <f>'[4]Engineering Summary'!M21</f>
        <v>10</v>
      </c>
      <c r="N13" s="185">
        <f>'[4]Engineering Summary'!N21</f>
        <v>15</v>
      </c>
      <c r="O13" s="185">
        <f>'[4]Engineering Summary'!O21</f>
        <v>1.5</v>
      </c>
      <c r="P13" s="85">
        <f t="shared" si="0"/>
        <v>136.5</v>
      </c>
    </row>
    <row r="14" spans="1:16" ht="12.75">
      <c r="A14" s="10">
        <v>39660</v>
      </c>
      <c r="B14" s="185">
        <f>'[4]Engineering Summary'!B22</f>
        <v>0</v>
      </c>
      <c r="C14" s="185">
        <f>'[4]Engineering Summary'!C22</f>
        <v>0</v>
      </c>
      <c r="D14" s="185">
        <f>'[4]Engineering Summary'!D22</f>
        <v>45</v>
      </c>
      <c r="E14" s="185">
        <f>'[4]Engineering Summary'!E22</f>
        <v>24</v>
      </c>
      <c r="F14" s="185">
        <f>'[4]Engineering Summary'!F22</f>
        <v>35</v>
      </c>
      <c r="G14" s="185">
        <f>'[4]Engineering Summary'!G22</f>
        <v>4</v>
      </c>
      <c r="H14" s="185">
        <f>'[4]Engineering Summary'!H22</f>
        <v>26</v>
      </c>
      <c r="I14" s="185">
        <f>'[4]Engineering Summary'!I22</f>
        <v>0</v>
      </c>
      <c r="J14" s="185">
        <f>'[4]Engineering Summary'!J22</f>
        <v>0</v>
      </c>
      <c r="K14" s="185">
        <f>'[4]Engineering Summary'!K22</f>
        <v>0</v>
      </c>
      <c r="L14" s="185">
        <f>'[4]Engineering Summary'!L22</f>
        <v>0</v>
      </c>
      <c r="M14" s="185">
        <f>'[4]Engineering Summary'!M22</f>
        <v>0</v>
      </c>
      <c r="N14" s="185">
        <f>'[4]Engineering Summary'!N22</f>
        <v>6</v>
      </c>
      <c r="O14" s="185">
        <f>'[4]Engineering Summary'!O22</f>
        <v>25</v>
      </c>
      <c r="P14" s="85">
        <f t="shared" si="0"/>
        <v>165</v>
      </c>
    </row>
    <row r="15" spans="1:16" ht="12.75">
      <c r="A15" s="10">
        <v>39675</v>
      </c>
      <c r="B15" s="185">
        <f>'[4]Engineering Summary'!B23</f>
        <v>0</v>
      </c>
      <c r="C15" s="185">
        <f>'[4]Engineering Summary'!C23</f>
        <v>0</v>
      </c>
      <c r="D15" s="185">
        <f>'[4]Engineering Summary'!D23</f>
        <v>9</v>
      </c>
      <c r="E15" s="185">
        <f>'[4]Engineering Summary'!E23</f>
        <v>35</v>
      </c>
      <c r="F15" s="185">
        <f>'[4]Engineering Summary'!F23</f>
        <v>40</v>
      </c>
      <c r="G15" s="185">
        <f>'[4]Engineering Summary'!G23</f>
        <v>7</v>
      </c>
      <c r="H15" s="185">
        <f>'[4]Engineering Summary'!H23</f>
        <v>24.5</v>
      </c>
      <c r="I15" s="185">
        <f>'[4]Engineering Summary'!I23</f>
        <v>1</v>
      </c>
      <c r="J15" s="185">
        <f>'[4]Engineering Summary'!J23</f>
        <v>0</v>
      </c>
      <c r="K15" s="185">
        <f>'[4]Engineering Summary'!K23</f>
        <v>0</v>
      </c>
      <c r="L15" s="185">
        <f>'[4]Engineering Summary'!L23</f>
        <v>0</v>
      </c>
      <c r="M15" s="185">
        <f>'[4]Engineering Summary'!M23</f>
        <v>6</v>
      </c>
      <c r="N15" s="185">
        <f>'[4]Engineering Summary'!N23</f>
        <v>0</v>
      </c>
      <c r="O15" s="185">
        <f>'[4]Engineering Summary'!O23</f>
        <v>20</v>
      </c>
      <c r="P15" s="85">
        <f t="shared" si="0"/>
        <v>142.5</v>
      </c>
    </row>
    <row r="16" spans="1:16" ht="12.75">
      <c r="A16" s="10">
        <v>39691</v>
      </c>
      <c r="B16" s="185">
        <f>'[4]Engineering Summary'!B24</f>
        <v>0</v>
      </c>
      <c r="C16" s="185">
        <f>'[4]Engineering Summary'!C24</f>
        <v>0</v>
      </c>
      <c r="D16" s="185">
        <f>'[4]Engineering Summary'!D24</f>
        <v>13.5</v>
      </c>
      <c r="E16" s="185">
        <f>'[4]Engineering Summary'!E24</f>
        <v>70.5</v>
      </c>
      <c r="F16" s="185">
        <f>'[4]Engineering Summary'!F24</f>
        <v>21</v>
      </c>
      <c r="G16" s="185">
        <f>'[4]Engineering Summary'!G24</f>
        <v>3</v>
      </c>
      <c r="H16" s="185">
        <f>'[4]Engineering Summary'!H24</f>
        <v>11.5</v>
      </c>
      <c r="I16" s="185">
        <f>'[4]Engineering Summary'!I24</f>
        <v>4</v>
      </c>
      <c r="J16" s="185">
        <f>'[4]Engineering Summary'!J24</f>
        <v>0</v>
      </c>
      <c r="K16" s="185">
        <f>'[4]Engineering Summary'!K24</f>
        <v>0</v>
      </c>
      <c r="L16" s="185">
        <f>'[4]Engineering Summary'!L24</f>
        <v>0</v>
      </c>
      <c r="M16" s="185">
        <f>'[4]Engineering Summary'!M24</f>
        <v>4</v>
      </c>
      <c r="N16" s="185">
        <f>'[4]Engineering Summary'!N24</f>
        <v>0</v>
      </c>
      <c r="O16" s="185">
        <f>'[4]Engineering Summary'!O24</f>
        <v>7.5</v>
      </c>
      <c r="P16" s="85">
        <f t="shared" si="0"/>
        <v>135</v>
      </c>
    </row>
    <row r="17" spans="1:16" ht="12.75">
      <c r="A17" s="10">
        <v>39706</v>
      </c>
      <c r="B17" s="185">
        <f>'[4]Engineering Summary'!B25</f>
        <v>0</v>
      </c>
      <c r="C17" s="185">
        <f>'[4]Engineering Summary'!C25</f>
        <v>0</v>
      </c>
      <c r="D17" s="185">
        <f>'[4]Engineering Summary'!D25</f>
        <v>7.5</v>
      </c>
      <c r="E17" s="185">
        <f>'[4]Engineering Summary'!E25</f>
        <v>52</v>
      </c>
      <c r="F17" s="185">
        <f>'[4]Engineering Summary'!F25</f>
        <v>26.5</v>
      </c>
      <c r="G17" s="185">
        <f>'[4]Engineering Summary'!G25</f>
        <v>8</v>
      </c>
      <c r="H17" s="185">
        <f>'[4]Engineering Summary'!H25</f>
        <v>15</v>
      </c>
      <c r="I17" s="185">
        <f>'[4]Engineering Summary'!I25</f>
        <v>1.5</v>
      </c>
      <c r="J17" s="185">
        <f>'[4]Engineering Summary'!J25</f>
        <v>0</v>
      </c>
      <c r="K17" s="185">
        <f>'[4]Engineering Summary'!K25</f>
        <v>0</v>
      </c>
      <c r="L17" s="185">
        <f>'[4]Engineering Summary'!L25</f>
        <v>0</v>
      </c>
      <c r="M17" s="185">
        <f>'[4]Engineering Summary'!M25</f>
        <v>8</v>
      </c>
      <c r="N17" s="185">
        <f>'[4]Engineering Summary'!N25</f>
        <v>5</v>
      </c>
      <c r="O17" s="185">
        <f>'[4]Engineering Summary'!O25</f>
        <v>20.5</v>
      </c>
      <c r="P17" s="85">
        <f t="shared" si="0"/>
        <v>144</v>
      </c>
    </row>
    <row r="18" spans="1:16" ht="12.75">
      <c r="A18" s="10">
        <v>39721</v>
      </c>
      <c r="B18" s="185">
        <f>'[4]Engineering Summary'!B26</f>
        <v>0</v>
      </c>
      <c r="C18" s="185">
        <f>'[4]Engineering Summary'!C26</f>
        <v>0</v>
      </c>
      <c r="D18" s="185">
        <f>'[4]Engineering Summary'!D26</f>
        <v>15</v>
      </c>
      <c r="E18" s="185">
        <f>'[4]Engineering Summary'!E26</f>
        <v>64</v>
      </c>
      <c r="F18" s="185">
        <f>'[4]Engineering Summary'!F26</f>
        <v>83</v>
      </c>
      <c r="G18" s="185">
        <f>'[4]Engineering Summary'!G26</f>
        <v>7.5</v>
      </c>
      <c r="H18" s="185">
        <f>'[4]Engineering Summary'!H26</f>
        <v>36</v>
      </c>
      <c r="I18" s="185">
        <f>'[4]Engineering Summary'!I26</f>
        <v>1</v>
      </c>
      <c r="J18" s="185">
        <f>'[4]Engineering Summary'!J26</f>
        <v>0</v>
      </c>
      <c r="K18" s="185">
        <f>'[4]Engineering Summary'!K26</f>
        <v>0</v>
      </c>
      <c r="L18" s="185">
        <f>'[4]Engineering Summary'!L26</f>
        <v>0</v>
      </c>
      <c r="M18" s="185">
        <f>'[4]Engineering Summary'!M26</f>
        <v>16</v>
      </c>
      <c r="N18" s="185">
        <f>'[4]Engineering Summary'!N26</f>
        <v>0</v>
      </c>
      <c r="O18" s="185">
        <f>'[4]Engineering Summary'!O26</f>
        <v>2.5</v>
      </c>
      <c r="P18" s="85">
        <f t="shared" si="0"/>
        <v>225</v>
      </c>
    </row>
    <row r="19" spans="1:16" ht="12.75">
      <c r="A19" s="10">
        <v>39736</v>
      </c>
      <c r="B19" s="185">
        <f>'[4]Engineering Summary'!B27</f>
        <v>0</v>
      </c>
      <c r="C19" s="185">
        <f>'[4]Engineering Summary'!C27</f>
        <v>0</v>
      </c>
      <c r="D19" s="185">
        <f>'[4]Engineering Summary'!D27</f>
        <v>37.5</v>
      </c>
      <c r="E19" s="185">
        <f>'[4]Engineering Summary'!E27</f>
        <v>32</v>
      </c>
      <c r="F19" s="185">
        <f>'[4]Engineering Summary'!F27</f>
        <v>41</v>
      </c>
      <c r="G19" s="185">
        <f>'[4]Engineering Summary'!G27</f>
        <v>11.5</v>
      </c>
      <c r="H19" s="185">
        <f>'[4]Engineering Summary'!H27</f>
        <v>50</v>
      </c>
      <c r="I19" s="185">
        <f>'[4]Engineering Summary'!I27</f>
        <v>3</v>
      </c>
      <c r="J19" s="185">
        <f>'[4]Engineering Summary'!J27</f>
        <v>0</v>
      </c>
      <c r="K19" s="185">
        <f>'[4]Engineering Summary'!K27</f>
        <v>0</v>
      </c>
      <c r="L19" s="185">
        <f>'[4]Engineering Summary'!L27</f>
        <v>0</v>
      </c>
      <c r="M19" s="185">
        <f>'[4]Engineering Summary'!M27</f>
        <v>40.5</v>
      </c>
      <c r="N19" s="185">
        <f>'[4]Engineering Summary'!N27</f>
        <v>3</v>
      </c>
      <c r="O19" s="185">
        <f>'[4]Engineering Summary'!O27</f>
        <v>14</v>
      </c>
      <c r="P19" s="85">
        <f t="shared" si="0"/>
        <v>232.5</v>
      </c>
    </row>
    <row r="20" spans="1:16" ht="12.75">
      <c r="A20" s="10">
        <v>39752</v>
      </c>
      <c r="B20" s="185">
        <f>'[4]Engineering Summary'!B28</f>
        <v>0</v>
      </c>
      <c r="C20" s="185">
        <f>'[4]Engineering Summary'!C28</f>
        <v>0</v>
      </c>
      <c r="D20" s="185">
        <f>'[4]Engineering Summary'!D28</f>
        <v>20</v>
      </c>
      <c r="E20" s="185">
        <f>'[4]Engineering Summary'!E28</f>
        <v>41.75</v>
      </c>
      <c r="F20" s="185">
        <f>'[4]Engineering Summary'!F28</f>
        <v>75.75</v>
      </c>
      <c r="G20" s="185">
        <f>'[4]Engineering Summary'!G28</f>
        <v>3</v>
      </c>
      <c r="H20" s="185">
        <f>'[4]Engineering Summary'!H28</f>
        <v>21.5</v>
      </c>
      <c r="I20" s="185">
        <f>'[4]Engineering Summary'!I28</f>
        <v>0</v>
      </c>
      <c r="J20" s="185">
        <f>'[4]Engineering Summary'!J28</f>
        <v>0</v>
      </c>
      <c r="K20" s="185">
        <f>'[4]Engineering Summary'!K28</f>
        <v>0</v>
      </c>
      <c r="L20" s="185">
        <f>'[4]Engineering Summary'!L28</f>
        <v>0</v>
      </c>
      <c r="M20" s="185">
        <f>'[4]Engineering Summary'!M28</f>
        <v>52</v>
      </c>
      <c r="N20" s="185">
        <f>'[4]Engineering Summary'!N28</f>
        <v>0</v>
      </c>
      <c r="O20" s="185">
        <f>'[4]Engineering Summary'!O28</f>
        <v>20</v>
      </c>
      <c r="P20" s="85">
        <f t="shared" si="0"/>
        <v>234</v>
      </c>
    </row>
    <row r="21" spans="1:16" ht="12.75">
      <c r="A21" s="10">
        <v>39767</v>
      </c>
      <c r="B21" s="185">
        <f>'[4]Engineering Summary'!B29</f>
        <v>0</v>
      </c>
      <c r="C21" s="185">
        <f>'[4]Engineering Summary'!C29</f>
        <v>0</v>
      </c>
      <c r="D21" s="185">
        <f>'[4]Engineering Summary'!D29</f>
        <v>23.5</v>
      </c>
      <c r="E21" s="185">
        <f>'[4]Engineering Summary'!E29</f>
        <v>39.5</v>
      </c>
      <c r="F21" s="185">
        <f>'[4]Engineering Summary'!F29</f>
        <v>36</v>
      </c>
      <c r="G21" s="185">
        <f>'[4]Engineering Summary'!G29</f>
        <v>3</v>
      </c>
      <c r="H21" s="185">
        <f>'[4]Engineering Summary'!H29</f>
        <v>40.5</v>
      </c>
      <c r="I21" s="185">
        <f>'[4]Engineering Summary'!I29</f>
        <v>2</v>
      </c>
      <c r="J21" s="185">
        <f>'[4]Engineering Summary'!J29</f>
        <v>0</v>
      </c>
      <c r="K21" s="185">
        <f>'[4]Engineering Summary'!K29</f>
        <v>0</v>
      </c>
      <c r="L21" s="185">
        <f>'[4]Engineering Summary'!L29</f>
        <v>0</v>
      </c>
      <c r="M21" s="185">
        <f>'[4]Engineering Summary'!M29</f>
        <v>35.5</v>
      </c>
      <c r="N21" s="185">
        <f>'[4]Engineering Summary'!N29</f>
        <v>4</v>
      </c>
      <c r="O21" s="185">
        <f>'[4]Engineering Summary'!O29</f>
        <v>20</v>
      </c>
      <c r="P21" s="85">
        <f t="shared" si="0"/>
        <v>204</v>
      </c>
    </row>
    <row r="22" spans="1:16" ht="12.75">
      <c r="A22" s="10">
        <v>39782</v>
      </c>
      <c r="B22" s="185">
        <f>'[4]Engineering Summary'!B30</f>
        <v>0</v>
      </c>
      <c r="C22" s="185">
        <f>'[4]Engineering Summary'!C30</f>
        <v>0</v>
      </c>
      <c r="D22" s="185">
        <f>'[4]Engineering Summary'!D30</f>
        <v>25</v>
      </c>
      <c r="E22" s="185">
        <f>'[4]Engineering Summary'!E30</f>
        <v>49.5</v>
      </c>
      <c r="F22" s="185">
        <f>'[4]Engineering Summary'!F30</f>
        <v>53.5</v>
      </c>
      <c r="G22" s="185">
        <f>'[4]Engineering Summary'!G30</f>
        <v>0</v>
      </c>
      <c r="H22" s="185">
        <f>'[4]Engineering Summary'!H30</f>
        <v>46.5</v>
      </c>
      <c r="I22" s="185">
        <f>'[4]Engineering Summary'!I30</f>
        <v>2</v>
      </c>
      <c r="J22" s="185">
        <f>'[4]Engineering Summary'!J30</f>
        <v>0</v>
      </c>
      <c r="K22" s="185">
        <f>'[4]Engineering Summary'!K30</f>
        <v>0</v>
      </c>
      <c r="L22" s="185">
        <f>'[4]Engineering Summary'!L30</f>
        <v>0</v>
      </c>
      <c r="M22" s="185">
        <f>'[4]Engineering Summary'!M30</f>
        <v>27.5</v>
      </c>
      <c r="N22" s="185">
        <f>'[4]Engineering Summary'!N30</f>
        <v>0</v>
      </c>
      <c r="O22" s="185">
        <f>'[4]Engineering Summary'!O30</f>
        <v>0</v>
      </c>
      <c r="P22" s="85">
        <f t="shared" si="0"/>
        <v>204</v>
      </c>
    </row>
    <row r="23" spans="1:16" ht="12.75">
      <c r="A23" s="10">
        <v>39797</v>
      </c>
      <c r="B23" s="185">
        <f>'[4]Engineering Summary'!B31</f>
        <v>0</v>
      </c>
      <c r="C23" s="185">
        <f>'[4]Engineering Summary'!C31</f>
        <v>0</v>
      </c>
      <c r="D23" s="185">
        <f>'[4]Engineering Summary'!D31</f>
        <v>45</v>
      </c>
      <c r="E23" s="185">
        <f>'[4]Engineering Summary'!E31</f>
        <v>34.5</v>
      </c>
      <c r="F23" s="185">
        <f>'[4]Engineering Summary'!F31</f>
        <v>50</v>
      </c>
      <c r="G23" s="185">
        <f>'[4]Engineering Summary'!G31</f>
        <v>5.5</v>
      </c>
      <c r="H23" s="185">
        <f>'[4]Engineering Summary'!H31</f>
        <v>12</v>
      </c>
      <c r="I23" s="185">
        <f>'[4]Engineering Summary'!I31</f>
        <v>1</v>
      </c>
      <c r="J23" s="185">
        <f>'[4]Engineering Summary'!J31</f>
        <v>0</v>
      </c>
      <c r="K23" s="185">
        <f>'[4]Engineering Summary'!K31</f>
        <v>0</v>
      </c>
      <c r="L23" s="185">
        <f>'[4]Engineering Summary'!L31</f>
        <v>0</v>
      </c>
      <c r="M23" s="185">
        <f>'[4]Engineering Summary'!M31</f>
        <v>77</v>
      </c>
      <c r="N23" s="185">
        <f>'[4]Engineering Summary'!N31</f>
        <v>0</v>
      </c>
      <c r="O23" s="185">
        <f>'[4]Engineering Summary'!O31</f>
        <v>7.5</v>
      </c>
      <c r="P23" s="85">
        <f t="shared" si="0"/>
        <v>232.5</v>
      </c>
    </row>
    <row r="24" spans="1:16" ht="12.75">
      <c r="A24" s="10">
        <v>39813</v>
      </c>
      <c r="B24" s="185">
        <f>'[4]Engineering Summary'!B32</f>
        <v>0</v>
      </c>
      <c r="C24" s="185">
        <f>'[4]Engineering Summary'!C32</f>
        <v>0</v>
      </c>
      <c r="D24" s="185">
        <f>'[4]Engineering Summary'!D32</f>
        <v>34.5</v>
      </c>
      <c r="E24" s="185">
        <f>'[4]Engineering Summary'!E32</f>
        <v>27</v>
      </c>
      <c r="F24" s="185">
        <f>'[4]Engineering Summary'!F32</f>
        <v>81</v>
      </c>
      <c r="G24" s="185">
        <f>'[4]Engineering Summary'!G32</f>
        <v>0.5</v>
      </c>
      <c r="H24" s="185">
        <f>'[4]Engineering Summary'!H32</f>
        <v>32</v>
      </c>
      <c r="I24" s="185">
        <f>'[4]Engineering Summary'!I32</f>
        <v>1</v>
      </c>
      <c r="J24" s="185">
        <f>'[4]Engineering Summary'!J32</f>
        <v>0</v>
      </c>
      <c r="K24" s="185">
        <f>'[4]Engineering Summary'!K32</f>
        <v>0</v>
      </c>
      <c r="L24" s="185">
        <f>'[4]Engineering Summary'!L32</f>
        <v>0</v>
      </c>
      <c r="M24" s="185">
        <f>'[4]Engineering Summary'!M32</f>
        <v>52</v>
      </c>
      <c r="N24" s="185">
        <f>'[4]Engineering Summary'!N32</f>
        <v>0</v>
      </c>
      <c r="O24" s="185">
        <f>'[4]Engineering Summary'!O32</f>
        <v>15</v>
      </c>
      <c r="P24" s="85">
        <f t="shared" si="0"/>
        <v>243</v>
      </c>
    </row>
    <row r="25" spans="1:16" ht="12.75">
      <c r="A25" s="10">
        <v>39828</v>
      </c>
      <c r="B25" s="185">
        <f>'[5]Eng Summary'!B9</f>
        <v>0</v>
      </c>
      <c r="C25" s="185">
        <f>'[5]Eng Summary'!C9</f>
        <v>3</v>
      </c>
      <c r="D25" s="185">
        <f>'[5]Eng Summary'!D9</f>
        <v>68</v>
      </c>
      <c r="E25" s="185">
        <f>'[5]Eng Summary'!E9</f>
        <v>0</v>
      </c>
      <c r="F25" s="185">
        <f>'[5]Eng Summary'!F9</f>
        <v>105.25</v>
      </c>
      <c r="G25" s="185">
        <f>'[5]Eng Summary'!G9</f>
        <v>0</v>
      </c>
      <c r="H25" s="185">
        <f>'[5]Eng Summary'!H9</f>
        <v>33.25</v>
      </c>
      <c r="I25" s="185">
        <f>'[5]Eng Summary'!I9</f>
        <v>6</v>
      </c>
      <c r="J25" s="185">
        <f>'[5]Eng Summary'!J9</f>
        <v>0</v>
      </c>
      <c r="K25" s="185">
        <f>'[5]Eng Summary'!K9</f>
        <v>0</v>
      </c>
      <c r="L25" s="185">
        <f>'[5]Eng Summary'!L9</f>
        <v>0</v>
      </c>
      <c r="M25" s="185">
        <f>'[5]Eng Summary'!M9</f>
        <v>15</v>
      </c>
      <c r="N25" s="185">
        <f>'[5]Eng Summary'!N9</f>
        <v>0</v>
      </c>
      <c r="O25" s="185">
        <f>'[5]Eng Summary'!O9</f>
        <v>2</v>
      </c>
      <c r="P25" s="85">
        <f t="shared" si="0"/>
        <v>232.5</v>
      </c>
    </row>
    <row r="26" spans="1:16" ht="12.75">
      <c r="A26" s="10">
        <v>39844</v>
      </c>
      <c r="B26" s="185">
        <f>'[5]Eng Summary'!B10</f>
        <v>0</v>
      </c>
      <c r="C26" s="185">
        <f>'[5]Eng Summary'!C10</f>
        <v>3</v>
      </c>
      <c r="D26" s="185">
        <f>'[5]Eng Summary'!D10</f>
        <v>24.5</v>
      </c>
      <c r="E26" s="185">
        <f>'[5]Eng Summary'!E10</f>
        <v>8</v>
      </c>
      <c r="F26" s="185">
        <f>'[5]Eng Summary'!F10</f>
        <v>110.5</v>
      </c>
      <c r="G26" s="185">
        <f>'[5]Eng Summary'!G10</f>
        <v>12</v>
      </c>
      <c r="H26" s="185">
        <f>'[5]Eng Summary'!H10</f>
        <v>43</v>
      </c>
      <c r="I26" s="185">
        <f>'[5]Eng Summary'!I10</f>
        <v>3</v>
      </c>
      <c r="J26" s="185">
        <f>'[5]Eng Summary'!J10</f>
        <v>0</v>
      </c>
      <c r="K26" s="185">
        <f>'[5]Eng Summary'!K10</f>
        <v>0</v>
      </c>
      <c r="L26" s="185">
        <f>'[5]Eng Summary'!L10</f>
        <v>0</v>
      </c>
      <c r="M26" s="185">
        <f>'[5]Eng Summary'!M10</f>
        <v>18</v>
      </c>
      <c r="N26" s="185">
        <f>'[5]Eng Summary'!N10</f>
        <v>1</v>
      </c>
      <c r="O26" s="185">
        <f>'[5]Eng Summary'!O10</f>
        <v>2</v>
      </c>
      <c r="P26" s="85">
        <f t="shared" si="0"/>
        <v>225</v>
      </c>
    </row>
    <row r="27" spans="1:16" ht="12.75">
      <c r="A27" s="10">
        <v>39859</v>
      </c>
      <c r="B27" s="185">
        <f>'[5]Eng Summary'!B11</f>
        <v>0</v>
      </c>
      <c r="C27" s="185">
        <f>'[5]Eng Summary'!C11</f>
        <v>8</v>
      </c>
      <c r="D27" s="185">
        <f>'[5]Eng Summary'!D11</f>
        <v>0</v>
      </c>
      <c r="E27" s="185">
        <f>'[5]Eng Summary'!E11</f>
        <v>5</v>
      </c>
      <c r="F27" s="185">
        <f>'[5]Eng Summary'!F11</f>
        <v>85.5</v>
      </c>
      <c r="G27" s="185">
        <f>'[5]Eng Summary'!G11</f>
        <v>4</v>
      </c>
      <c r="H27" s="185">
        <f>'[5]Eng Summary'!H11</f>
        <v>67</v>
      </c>
      <c r="I27" s="185">
        <f>'[5]Eng Summary'!I11</f>
        <v>5</v>
      </c>
      <c r="J27" s="185">
        <f>'[5]Eng Summary'!J11</f>
        <v>0</v>
      </c>
      <c r="K27" s="185">
        <f>'[5]Eng Summary'!K11</f>
        <v>0</v>
      </c>
      <c r="L27" s="185">
        <f>'[5]Eng Summary'!L11</f>
        <v>0</v>
      </c>
      <c r="M27" s="185">
        <f>'[5]Eng Summary'!M11</f>
        <v>31.5</v>
      </c>
      <c r="N27" s="185">
        <f>'[5]Eng Summary'!N11</f>
        <v>0</v>
      </c>
      <c r="O27" s="185">
        <f>'[5]Eng Summary'!O11</f>
        <v>4</v>
      </c>
      <c r="P27" s="85">
        <f t="shared" si="0"/>
        <v>210</v>
      </c>
    </row>
    <row r="28" spans="1:16" ht="12.75">
      <c r="A28" s="10">
        <v>39872</v>
      </c>
      <c r="B28" s="185">
        <f>'[5]Eng Summary'!B12</f>
        <v>0</v>
      </c>
      <c r="C28" s="185">
        <f>'[5]Eng Summary'!C12</f>
        <v>0</v>
      </c>
      <c r="D28" s="185">
        <f>'[5]Eng Summary'!D12</f>
        <v>22.5</v>
      </c>
      <c r="E28" s="185">
        <f>'[5]Eng Summary'!E12</f>
        <v>6</v>
      </c>
      <c r="F28" s="185">
        <f>'[5]Eng Summary'!F12</f>
        <v>92.5</v>
      </c>
      <c r="G28" s="185">
        <f>'[5]Eng Summary'!G12</f>
        <v>5</v>
      </c>
      <c r="H28" s="185">
        <f>'[5]Eng Summary'!H12</f>
        <v>18</v>
      </c>
      <c r="I28" s="185">
        <f>'[5]Eng Summary'!I12</f>
        <v>25.5</v>
      </c>
      <c r="J28" s="185">
        <f>'[5]Eng Summary'!J12</f>
        <v>0</v>
      </c>
      <c r="K28" s="185">
        <f>'[5]Eng Summary'!K12</f>
        <v>0</v>
      </c>
      <c r="L28" s="185">
        <f>'[5]Eng Summary'!L12</f>
        <v>0</v>
      </c>
      <c r="M28" s="185">
        <f>'[5]Eng Summary'!M12</f>
        <v>37.5</v>
      </c>
      <c r="N28" s="185">
        <f>'[5]Eng Summary'!N12</f>
        <v>0</v>
      </c>
      <c r="O28" s="185">
        <f>'[5]Eng Summary'!O12</f>
        <v>3</v>
      </c>
      <c r="P28" s="85">
        <f t="shared" si="0"/>
        <v>210</v>
      </c>
    </row>
    <row r="29" spans="1:16" ht="12.75">
      <c r="A29" s="10">
        <v>39887</v>
      </c>
      <c r="B29" s="185">
        <f>'[5]Eng Summary'!B13</f>
        <v>0</v>
      </c>
      <c r="C29" s="185">
        <f>'[5]Eng Summary'!C13</f>
        <v>4</v>
      </c>
      <c r="D29" s="185">
        <f>'[5]Eng Summary'!D13</f>
        <v>1</v>
      </c>
      <c r="E29" s="185">
        <f>'[5]Eng Summary'!E13</f>
        <v>0</v>
      </c>
      <c r="F29" s="185">
        <f>'[5]Eng Summary'!F13</f>
        <v>87</v>
      </c>
      <c r="G29" s="185">
        <f>'[5]Eng Summary'!G13</f>
        <v>3</v>
      </c>
      <c r="H29" s="185">
        <f>'[5]Eng Summary'!H13</f>
        <v>20.25</v>
      </c>
      <c r="I29" s="185">
        <f>'[5]Eng Summary'!I13</f>
        <v>39</v>
      </c>
      <c r="J29" s="185">
        <f>'[5]Eng Summary'!J13</f>
        <v>0</v>
      </c>
      <c r="K29" s="185">
        <f>'[5]Eng Summary'!K13</f>
        <v>0</v>
      </c>
      <c r="L29" s="185">
        <f>'[5]Eng Summary'!L13</f>
        <v>0</v>
      </c>
      <c r="M29" s="185">
        <f>'[5]Eng Summary'!M13</f>
        <v>44.75</v>
      </c>
      <c r="N29" s="185">
        <f>'[5]Eng Summary'!N13</f>
        <v>0</v>
      </c>
      <c r="O29" s="185">
        <f>'[5]Eng Summary'!O13</f>
        <v>11</v>
      </c>
      <c r="P29" s="85">
        <f t="shared" si="0"/>
        <v>210</v>
      </c>
    </row>
    <row r="30" spans="1:16" ht="12.75">
      <c r="A30" s="10">
        <v>39903</v>
      </c>
      <c r="B30" s="185">
        <f>'[5]Eng Summary'!B14</f>
        <v>0</v>
      </c>
      <c r="C30" s="185">
        <f>'[5]Eng Summary'!C14</f>
        <v>5</v>
      </c>
      <c r="D30" s="185">
        <f>'[5]Eng Summary'!D14</f>
        <v>108</v>
      </c>
      <c r="E30" s="185">
        <f>'[5]Eng Summary'!E14</f>
        <v>0</v>
      </c>
      <c r="F30" s="185">
        <f>'[5]Eng Summary'!F14</f>
        <v>61.5</v>
      </c>
      <c r="G30" s="185">
        <f>'[5]Eng Summary'!G14</f>
        <v>0</v>
      </c>
      <c r="H30" s="185">
        <f>'[5]Eng Summary'!H14</f>
        <v>16</v>
      </c>
      <c r="I30" s="185">
        <f>'[5]Eng Summary'!I14</f>
        <v>43</v>
      </c>
      <c r="J30" s="185">
        <f>'[5]Eng Summary'!J14</f>
        <v>0</v>
      </c>
      <c r="K30" s="185">
        <f>'[5]Eng Summary'!K14</f>
        <v>0</v>
      </c>
      <c r="L30" s="185">
        <f>'[5]Eng Summary'!L14</f>
        <v>0</v>
      </c>
      <c r="M30" s="185">
        <f>'[5]Eng Summary'!M14</f>
        <v>13.5</v>
      </c>
      <c r="N30" s="185">
        <f>'[5]Eng Summary'!N14</f>
        <v>0</v>
      </c>
      <c r="O30" s="185">
        <f>'[5]Eng Summary'!O14</f>
        <v>8</v>
      </c>
      <c r="P30" s="85">
        <f t="shared" si="0"/>
        <v>255</v>
      </c>
    </row>
    <row r="31" spans="1:16" ht="12.75">
      <c r="A31" s="10">
        <v>39918</v>
      </c>
      <c r="B31" s="185">
        <f>'[5]Eng Summary'!B15</f>
        <v>0</v>
      </c>
      <c r="C31" s="185">
        <f>'[5]Eng Summary'!C15</f>
        <v>0</v>
      </c>
      <c r="D31" s="185">
        <f>'[5]Eng Summary'!D15</f>
        <v>25.5</v>
      </c>
      <c r="E31" s="185">
        <f>'[5]Eng Summary'!E15</f>
        <v>5</v>
      </c>
      <c r="F31" s="185">
        <f>'[5]Eng Summary'!F15</f>
        <v>67.5</v>
      </c>
      <c r="G31" s="185">
        <f>'[5]Eng Summary'!G15</f>
        <v>6</v>
      </c>
      <c r="H31" s="185">
        <f>'[5]Eng Summary'!H15</f>
        <v>23.5</v>
      </c>
      <c r="I31" s="185">
        <f>'[5]Eng Summary'!I15</f>
        <v>18</v>
      </c>
      <c r="J31" s="185">
        <f>'[5]Eng Summary'!J15</f>
        <v>0</v>
      </c>
      <c r="K31" s="185">
        <f>'[5]Eng Summary'!K15</f>
        <v>0</v>
      </c>
      <c r="L31" s="185">
        <f>'[5]Eng Summary'!L15</f>
        <v>0</v>
      </c>
      <c r="M31" s="185">
        <f>'[5]Eng Summary'!M15</f>
        <v>51</v>
      </c>
      <c r="N31" s="185">
        <f>'[5]Eng Summary'!N15</f>
        <v>0</v>
      </c>
      <c r="O31" s="185">
        <f>'[5]Eng Summary'!O15</f>
        <v>36</v>
      </c>
      <c r="P31" s="85">
        <f t="shared" si="0"/>
        <v>232.5</v>
      </c>
    </row>
    <row r="32" spans="1:16" ht="12.75">
      <c r="A32" s="10">
        <v>39933</v>
      </c>
      <c r="B32" s="185">
        <f>'[5]Eng Summary'!B16</f>
        <v>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>
        <f t="shared" si="0"/>
        <v>0</v>
      </c>
    </row>
    <row r="33" spans="3:16" ht="13.5" thickBot="1">
      <c r="C33" s="11">
        <f aca="true" t="shared" si="1" ref="C33:P33">SUM(C9:C32)</f>
        <v>23</v>
      </c>
      <c r="D33" s="11">
        <f t="shared" si="1"/>
        <v>583.75</v>
      </c>
      <c r="E33" s="11">
        <f t="shared" si="1"/>
        <v>609.25</v>
      </c>
      <c r="F33" s="11">
        <f t="shared" si="1"/>
        <v>1256.25</v>
      </c>
      <c r="G33" s="11">
        <f t="shared" si="1"/>
        <v>120</v>
      </c>
      <c r="H33" s="11">
        <f t="shared" si="1"/>
        <v>782</v>
      </c>
      <c r="I33" s="11">
        <f t="shared" si="1"/>
        <v>174.5</v>
      </c>
      <c r="J33" s="11">
        <f t="shared" si="1"/>
        <v>0</v>
      </c>
      <c r="K33" s="11">
        <f t="shared" si="1"/>
        <v>0</v>
      </c>
      <c r="L33" s="11">
        <f t="shared" si="1"/>
        <v>0</v>
      </c>
      <c r="M33" s="11">
        <f t="shared" si="1"/>
        <v>585.25</v>
      </c>
      <c r="N33" s="11">
        <f t="shared" si="1"/>
        <v>34</v>
      </c>
      <c r="O33" s="11">
        <f t="shared" si="1"/>
        <v>299</v>
      </c>
      <c r="P33" s="11">
        <f t="shared" si="1"/>
        <v>4467</v>
      </c>
    </row>
    <row r="34" ht="13.5" thickTop="1">
      <c r="O34" s="188"/>
    </row>
    <row r="35" spans="3:16" ht="12.75">
      <c r="C35" s="14">
        <f>+C33/P33</f>
        <v>0.00514886948735169</v>
      </c>
      <c r="D35" s="14">
        <f>+D33/P33</f>
        <v>0.13068054622789343</v>
      </c>
      <c r="E35" s="14">
        <f>+E33/P33</f>
        <v>0.1363890754421312</v>
      </c>
      <c r="F35" s="14">
        <f>+F33/P33</f>
        <v>0.28122901276024176</v>
      </c>
      <c r="G35" s="14">
        <f>+G33/P33</f>
        <v>0.026863666890530557</v>
      </c>
      <c r="H35" s="14">
        <f>+H33/P33</f>
        <v>0.17506156256995747</v>
      </c>
      <c r="I35" s="14">
        <f>+I33/P33</f>
        <v>0.03906424893664652</v>
      </c>
      <c r="J35" s="14">
        <f>+J33/P33</f>
        <v>0</v>
      </c>
      <c r="K35" s="14">
        <f>+K33/P33</f>
        <v>0</v>
      </c>
      <c r="L35" s="14">
        <f>+L33/P33</f>
        <v>0</v>
      </c>
      <c r="M35" s="14">
        <f>+M33/P33</f>
        <v>0.13101634206402507</v>
      </c>
      <c r="N35" s="14">
        <f>+N33/P33</f>
        <v>0.0076113722856503245</v>
      </c>
      <c r="O35" s="187">
        <f>+O33/P33</f>
        <v>0.06693530333557197</v>
      </c>
      <c r="P35" s="14">
        <f>SUM(C35:O35)</f>
        <v>1</v>
      </c>
    </row>
    <row r="36" ht="12.75">
      <c r="O36" s="186"/>
    </row>
    <row r="37" spans="1:16" ht="13.5" thickBot="1">
      <c r="A37" t="s">
        <v>24</v>
      </c>
      <c r="E37" s="12"/>
      <c r="F37" s="11">
        <f>+F33</f>
        <v>1256.25</v>
      </c>
      <c r="G37" s="11">
        <f aca="true" t="shared" si="2" ref="G37:N37">+G33</f>
        <v>120</v>
      </c>
      <c r="H37" s="11">
        <f t="shared" si="2"/>
        <v>782</v>
      </c>
      <c r="I37" s="11">
        <f t="shared" si="2"/>
        <v>174.5</v>
      </c>
      <c r="J37" s="11">
        <f t="shared" si="2"/>
        <v>0</v>
      </c>
      <c r="K37" s="11">
        <f t="shared" si="2"/>
        <v>0</v>
      </c>
      <c r="L37" s="11">
        <f t="shared" si="2"/>
        <v>0</v>
      </c>
      <c r="M37" s="11">
        <f t="shared" si="2"/>
        <v>585.25</v>
      </c>
      <c r="N37" s="11">
        <f t="shared" si="2"/>
        <v>34</v>
      </c>
      <c r="O37" s="186"/>
      <c r="P37" s="11">
        <f>SUM(F37:N37)</f>
        <v>2952</v>
      </c>
    </row>
    <row r="38" spans="5:15" ht="13.5" thickTop="1">
      <c r="E38" s="12"/>
      <c r="O38" s="186"/>
    </row>
    <row r="39" spans="5:16" ht="12.75">
      <c r="E39" s="12"/>
      <c r="F39" s="14">
        <f>+F37/$P$37</f>
        <v>0.4255589430894309</v>
      </c>
      <c r="G39" s="14">
        <f aca="true" t="shared" si="3" ref="G39:P39">+G37/$P$37</f>
        <v>0.04065040650406504</v>
      </c>
      <c r="H39" s="14">
        <f t="shared" si="3"/>
        <v>0.26490514905149054</v>
      </c>
      <c r="I39" s="14">
        <f t="shared" si="3"/>
        <v>0.05911246612466125</v>
      </c>
      <c r="J39" s="14">
        <f t="shared" si="3"/>
        <v>0</v>
      </c>
      <c r="K39" s="14">
        <f t="shared" si="3"/>
        <v>0</v>
      </c>
      <c r="L39" s="14">
        <f t="shared" si="3"/>
        <v>0</v>
      </c>
      <c r="M39" s="14">
        <f t="shared" si="3"/>
        <v>0.19825542005420055</v>
      </c>
      <c r="N39" s="14">
        <f t="shared" si="3"/>
        <v>0.011517615176151762</v>
      </c>
      <c r="O39" s="187"/>
      <c r="P39" s="14">
        <f t="shared" si="3"/>
        <v>1</v>
      </c>
    </row>
  </sheetData>
  <sheetProtection/>
  <printOptions/>
  <pageMargins left="0.75" right="0.75" top="1" bottom="0.22" header="0.17" footer="0.17"/>
  <pageSetup fitToHeight="1" fitToWidth="1" horizontalDpi="600" verticalDpi="600" orientation="landscape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2" width="12.7109375" style="0" customWidth="1"/>
    <col min="3" max="3" width="13.140625" style="1" customWidth="1"/>
    <col min="4" max="4" width="11.421875" style="1" customWidth="1"/>
    <col min="5" max="5" width="14.57421875" style="1" customWidth="1"/>
    <col min="6" max="6" width="11.28125" style="1" customWidth="1"/>
    <col min="7" max="7" width="9.7109375" style="1" customWidth="1"/>
    <col min="8" max="8" width="13.28125" style="1" customWidth="1"/>
    <col min="9" max="9" width="12.57421875" style="1" customWidth="1"/>
    <col min="10" max="10" width="10.57421875" style="1" customWidth="1"/>
    <col min="11" max="11" width="10.140625" style="1" customWidth="1"/>
    <col min="12" max="12" width="9.140625" style="1" customWidth="1"/>
    <col min="13" max="13" width="9.7109375" style="1" customWidth="1"/>
    <col min="14" max="14" width="9.140625" style="1" customWidth="1"/>
    <col min="15" max="15" width="13.28125" style="1" customWidth="1"/>
    <col min="16" max="16" width="10.28125" style="1" bestFit="1" customWidth="1"/>
  </cols>
  <sheetData>
    <row r="1" spans="1:5" ht="12.75">
      <c r="A1" s="13" t="s">
        <v>118</v>
      </c>
      <c r="B1" s="13"/>
      <c r="E1" s="2"/>
    </row>
    <row r="2" spans="1:5" ht="12.75">
      <c r="A2" s="13"/>
      <c r="B2" s="13"/>
      <c r="E2" s="2"/>
    </row>
    <row r="3" ht="12.75">
      <c r="E3" s="2"/>
    </row>
    <row r="4" spans="5:16" ht="12.75">
      <c r="E4" s="3" t="s">
        <v>115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8.25">
      <c r="A5" s="5" t="s">
        <v>8</v>
      </c>
      <c r="B5" s="5" t="s">
        <v>196</v>
      </c>
      <c r="C5" s="7" t="s">
        <v>9</v>
      </c>
      <c r="D5" s="6"/>
      <c r="E5" s="7" t="s">
        <v>120</v>
      </c>
      <c r="F5" s="7"/>
      <c r="G5" s="7"/>
      <c r="H5" s="7" t="s">
        <v>11</v>
      </c>
      <c r="I5" s="7"/>
      <c r="J5" s="7"/>
      <c r="K5" s="7"/>
      <c r="L5" s="7"/>
      <c r="M5" s="7"/>
      <c r="N5" s="7"/>
      <c r="O5" s="7" t="s">
        <v>202</v>
      </c>
      <c r="P5" s="8"/>
    </row>
    <row r="6" spans="3:16" ht="12.75">
      <c r="C6" s="9" t="s">
        <v>12</v>
      </c>
      <c r="D6" s="9" t="s">
        <v>13</v>
      </c>
      <c r="E6" s="9" t="s">
        <v>10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 t="s">
        <v>198</v>
      </c>
      <c r="P6" s="9" t="s">
        <v>23</v>
      </c>
    </row>
    <row r="9" spans="1:16" ht="12.75">
      <c r="A9" s="10">
        <v>39583</v>
      </c>
      <c r="B9" s="185">
        <f>'[6]Tariffs Summary'!B17</f>
        <v>0</v>
      </c>
      <c r="C9" s="185">
        <f>'[6]Tariffs Summary'!C17</f>
        <v>37.5</v>
      </c>
      <c r="D9" s="185">
        <f>'[6]Tariffs Summary'!D17</f>
        <v>12.5</v>
      </c>
      <c r="E9" s="185">
        <f>'[6]Tariffs Summary'!E17</f>
        <v>5</v>
      </c>
      <c r="F9" s="185">
        <f>'[6]Tariffs Summary'!F17</f>
        <v>122</v>
      </c>
      <c r="G9" s="185">
        <f>'[6]Tariffs Summary'!G17</f>
        <v>28.5</v>
      </c>
      <c r="H9" s="185">
        <f>'[6]Tariffs Summary'!H17</f>
        <v>27</v>
      </c>
      <c r="I9" s="185">
        <f>'[6]Tariffs Summary'!I17</f>
        <v>10</v>
      </c>
      <c r="J9" s="185">
        <f>'[6]Tariffs Summary'!J17</f>
        <v>1</v>
      </c>
      <c r="K9" s="185">
        <f>'[6]Tariffs Summary'!K17</f>
        <v>1</v>
      </c>
      <c r="L9" s="185">
        <f>'[6]Tariffs Summary'!L17</f>
        <v>0</v>
      </c>
      <c r="M9" s="185">
        <f>'[6]Tariffs Summary'!M17</f>
        <v>3</v>
      </c>
      <c r="N9" s="185">
        <f>'[6]Tariffs Summary'!N17</f>
        <v>0</v>
      </c>
      <c r="O9" s="185">
        <f>'[6]Tariffs Summary'!O17</f>
        <v>0</v>
      </c>
      <c r="P9" s="85">
        <f>SUM(C9:O9)</f>
        <v>247.5</v>
      </c>
    </row>
    <row r="10" spans="1:16" ht="12.75">
      <c r="A10" s="10">
        <v>39599</v>
      </c>
      <c r="B10" s="185">
        <f>'[6]Tariffs Summary'!B18</f>
        <v>0</v>
      </c>
      <c r="C10" s="185">
        <f>'[6]Tariffs Summary'!C18</f>
        <v>30</v>
      </c>
      <c r="D10" s="185">
        <f>'[6]Tariffs Summary'!D18</f>
        <v>30</v>
      </c>
      <c r="E10" s="185">
        <f>'[6]Tariffs Summary'!E18</f>
        <v>12.5</v>
      </c>
      <c r="F10" s="185">
        <f>'[6]Tariffs Summary'!F18</f>
        <v>110.5</v>
      </c>
      <c r="G10" s="185">
        <f>'[6]Tariffs Summary'!G18</f>
        <v>7.5</v>
      </c>
      <c r="H10" s="185">
        <f>'[6]Tariffs Summary'!H18</f>
        <v>45</v>
      </c>
      <c r="I10" s="185">
        <f>'[6]Tariffs Summary'!I18</f>
        <v>0</v>
      </c>
      <c r="J10" s="185">
        <f>'[6]Tariffs Summary'!J18</f>
        <v>9</v>
      </c>
      <c r="K10" s="185">
        <f>'[6]Tariffs Summary'!K18</f>
        <v>0</v>
      </c>
      <c r="L10" s="185">
        <f>'[6]Tariffs Summary'!L18</f>
        <v>0</v>
      </c>
      <c r="M10" s="185">
        <f>'[6]Tariffs Summary'!M18</f>
        <v>3</v>
      </c>
      <c r="N10" s="185">
        <f>'[6]Tariffs Summary'!N18</f>
        <v>0</v>
      </c>
      <c r="O10" s="185">
        <f>'[6]Tariffs Summary'!O18</f>
        <v>0</v>
      </c>
      <c r="P10" s="85">
        <f aca="true" t="shared" si="0" ref="P10:P32">SUM(C10:O10)</f>
        <v>247.5</v>
      </c>
    </row>
    <row r="11" spans="1:16" ht="12.75">
      <c r="A11" s="10">
        <v>39614</v>
      </c>
      <c r="B11" s="185">
        <f>'[6]Tariffs Summary'!B19</f>
        <v>0</v>
      </c>
      <c r="C11" s="185">
        <f>'[6]Tariffs Summary'!C19</f>
        <v>34</v>
      </c>
      <c r="D11" s="185">
        <f>'[6]Tariffs Summary'!D19</f>
        <v>7.5</v>
      </c>
      <c r="E11" s="185">
        <f>'[6]Tariffs Summary'!E19</f>
        <v>0</v>
      </c>
      <c r="F11" s="185">
        <f>'[6]Tariffs Summary'!F19</f>
        <v>73</v>
      </c>
      <c r="G11" s="185">
        <f>'[6]Tariffs Summary'!G19</f>
        <v>0</v>
      </c>
      <c r="H11" s="185">
        <f>'[6]Tariffs Summary'!H19</f>
        <v>48</v>
      </c>
      <c r="I11" s="185">
        <f>'[6]Tariffs Summary'!I19</f>
        <v>0</v>
      </c>
      <c r="J11" s="185">
        <f>'[6]Tariffs Summary'!J19</f>
        <v>34</v>
      </c>
      <c r="K11" s="185">
        <f>'[6]Tariffs Summary'!K19</f>
        <v>6</v>
      </c>
      <c r="L11" s="185">
        <f>'[6]Tariffs Summary'!L19</f>
        <v>0</v>
      </c>
      <c r="M11" s="185">
        <f>'[6]Tariffs Summary'!M19</f>
        <v>22.5</v>
      </c>
      <c r="N11" s="185">
        <f>'[6]Tariffs Summary'!N19</f>
        <v>0</v>
      </c>
      <c r="O11" s="185">
        <f>'[6]Tariffs Summary'!O19</f>
        <v>0</v>
      </c>
      <c r="P11" s="85">
        <f t="shared" si="0"/>
        <v>225</v>
      </c>
    </row>
    <row r="12" spans="1:16" ht="12.75">
      <c r="A12" s="10">
        <v>39629</v>
      </c>
      <c r="B12" s="185">
        <f>'[6]Tariffs Summary'!B20</f>
        <v>0</v>
      </c>
      <c r="C12" s="185">
        <f>'[6]Tariffs Summary'!C20</f>
        <v>35.5</v>
      </c>
      <c r="D12" s="185">
        <f>'[6]Tariffs Summary'!D20</f>
        <v>0</v>
      </c>
      <c r="E12" s="185">
        <f>'[6]Tariffs Summary'!E20</f>
        <v>0</v>
      </c>
      <c r="F12" s="185">
        <f>'[6]Tariffs Summary'!F20</f>
        <v>86.5</v>
      </c>
      <c r="G12" s="185">
        <f>'[6]Tariffs Summary'!G20</f>
        <v>3</v>
      </c>
      <c r="H12" s="185">
        <f>'[6]Tariffs Summary'!H20</f>
        <v>27</v>
      </c>
      <c r="I12" s="185">
        <f>'[6]Tariffs Summary'!I20</f>
        <v>19</v>
      </c>
      <c r="J12" s="185">
        <f>'[6]Tariffs Summary'!J20</f>
        <v>21</v>
      </c>
      <c r="K12" s="185">
        <f>'[6]Tariffs Summary'!K20</f>
        <v>18</v>
      </c>
      <c r="L12" s="185">
        <f>'[6]Tariffs Summary'!L20</f>
        <v>4</v>
      </c>
      <c r="M12" s="185">
        <f>'[6]Tariffs Summary'!M20</f>
        <v>26.5</v>
      </c>
      <c r="N12" s="185">
        <f>'[6]Tariffs Summary'!N20</f>
        <v>7</v>
      </c>
      <c r="O12" s="185">
        <f>'[6]Tariffs Summary'!O20</f>
        <v>0</v>
      </c>
      <c r="P12" s="85">
        <f t="shared" si="0"/>
        <v>247.5</v>
      </c>
    </row>
    <row r="13" spans="1:16" ht="12.75">
      <c r="A13" s="10">
        <v>39644</v>
      </c>
      <c r="B13" s="185">
        <f>'[6]Tariffs Summary'!B21</f>
        <v>0</v>
      </c>
      <c r="C13" s="185">
        <f>'[6]Tariffs Summary'!C21</f>
        <v>66.5</v>
      </c>
      <c r="D13" s="185">
        <f>'[6]Tariffs Summary'!D21</f>
        <v>67.5</v>
      </c>
      <c r="E13" s="185">
        <f>'[6]Tariffs Summary'!E21</f>
        <v>2</v>
      </c>
      <c r="F13" s="185">
        <f>'[6]Tariffs Summary'!F21</f>
        <v>57</v>
      </c>
      <c r="G13" s="185">
        <f>'[6]Tariffs Summary'!G21</f>
        <v>1</v>
      </c>
      <c r="H13" s="185">
        <f>'[6]Tariffs Summary'!H21</f>
        <v>12</v>
      </c>
      <c r="I13" s="185">
        <f>'[6]Tariffs Summary'!I21</f>
        <v>3</v>
      </c>
      <c r="J13" s="185">
        <f>'[6]Tariffs Summary'!J21</f>
        <v>12</v>
      </c>
      <c r="K13" s="185">
        <f>'[6]Tariffs Summary'!K21</f>
        <v>12.5</v>
      </c>
      <c r="L13" s="185">
        <f>'[6]Tariffs Summary'!L21</f>
        <v>1</v>
      </c>
      <c r="M13" s="185">
        <f>'[6]Tariffs Summary'!M21</f>
        <v>12</v>
      </c>
      <c r="N13" s="185">
        <f>'[6]Tariffs Summary'!N21</f>
        <v>1</v>
      </c>
      <c r="O13" s="185">
        <f>'[6]Tariffs Summary'!O21</f>
        <v>0</v>
      </c>
      <c r="P13" s="85">
        <f t="shared" si="0"/>
        <v>247.5</v>
      </c>
    </row>
    <row r="14" spans="1:16" ht="12.75">
      <c r="A14" s="10">
        <v>39660</v>
      </c>
      <c r="B14" s="185">
        <f>'[6]Tariffs Summary'!B22</f>
        <v>0</v>
      </c>
      <c r="C14" s="185">
        <f>'[6]Tariffs Summary'!C22</f>
        <v>54.5</v>
      </c>
      <c r="D14" s="185">
        <f>'[6]Tariffs Summary'!D22</f>
        <v>7.5</v>
      </c>
      <c r="E14" s="185">
        <f>'[6]Tariffs Summary'!E22</f>
        <v>2</v>
      </c>
      <c r="F14" s="185">
        <f>'[6]Tariffs Summary'!F22</f>
        <v>56.5</v>
      </c>
      <c r="G14" s="185">
        <f>'[6]Tariffs Summary'!G22</f>
        <v>20</v>
      </c>
      <c r="H14" s="185">
        <f>'[6]Tariffs Summary'!H22</f>
        <v>22.5</v>
      </c>
      <c r="I14" s="185">
        <f>'[6]Tariffs Summary'!I22</f>
        <v>7</v>
      </c>
      <c r="J14" s="185">
        <f>'[6]Tariffs Summary'!J22</f>
        <v>5</v>
      </c>
      <c r="K14" s="185">
        <f>'[6]Tariffs Summary'!K22</f>
        <v>5</v>
      </c>
      <c r="L14" s="185">
        <f>'[6]Tariffs Summary'!L22</f>
        <v>0</v>
      </c>
      <c r="M14" s="185">
        <f>'[6]Tariffs Summary'!M22</f>
        <v>4</v>
      </c>
      <c r="N14" s="185">
        <f>'[6]Tariffs Summary'!N22</f>
        <v>0</v>
      </c>
      <c r="O14" s="185">
        <f>'[6]Tariffs Summary'!O22</f>
        <v>0</v>
      </c>
      <c r="P14" s="85">
        <f t="shared" si="0"/>
        <v>184</v>
      </c>
    </row>
    <row r="15" spans="1:16" ht="12.75">
      <c r="A15" s="10">
        <v>39675</v>
      </c>
      <c r="B15" s="185">
        <f>'[6]Tariffs Summary'!B23</f>
        <v>0</v>
      </c>
      <c r="C15" s="185">
        <f>'[6]Tariffs Summary'!C23</f>
        <v>39</v>
      </c>
      <c r="D15" s="185">
        <f>'[6]Tariffs Summary'!D23</f>
        <v>7.5</v>
      </c>
      <c r="E15" s="185">
        <f>'[6]Tariffs Summary'!E23</f>
        <v>0</v>
      </c>
      <c r="F15" s="185">
        <f>'[6]Tariffs Summary'!F23</f>
        <v>52.5</v>
      </c>
      <c r="G15" s="185">
        <f>'[6]Tariffs Summary'!G23</f>
        <v>9.5</v>
      </c>
      <c r="H15" s="185">
        <f>'[6]Tariffs Summary'!H23</f>
        <v>40</v>
      </c>
      <c r="I15" s="185">
        <f>'[6]Tariffs Summary'!I23</f>
        <v>2</v>
      </c>
      <c r="J15" s="185">
        <f>'[6]Tariffs Summary'!J23</f>
        <v>12.5</v>
      </c>
      <c r="K15" s="185">
        <f>'[6]Tariffs Summary'!K23</f>
        <v>0</v>
      </c>
      <c r="L15" s="185">
        <f>'[6]Tariffs Summary'!L23</f>
        <v>0</v>
      </c>
      <c r="M15" s="185">
        <f>'[6]Tariffs Summary'!M23</f>
        <v>2</v>
      </c>
      <c r="N15" s="185">
        <f>'[6]Tariffs Summary'!N23</f>
        <v>0</v>
      </c>
      <c r="O15" s="185">
        <f>'[6]Tariffs Summary'!O23</f>
        <v>0</v>
      </c>
      <c r="P15" s="85">
        <f t="shared" si="0"/>
        <v>165</v>
      </c>
    </row>
    <row r="16" spans="1:16" ht="12.75">
      <c r="A16" s="10">
        <v>39691</v>
      </c>
      <c r="B16" s="185">
        <f>'[6]Tariffs Summary'!B24</f>
        <v>0</v>
      </c>
      <c r="C16" s="185">
        <f>'[6]Tariffs Summary'!C24</f>
        <v>171.5</v>
      </c>
      <c r="D16" s="185">
        <f>'[6]Tariffs Summary'!D24</f>
        <v>0</v>
      </c>
      <c r="E16" s="185">
        <f>'[6]Tariffs Summary'!E24</f>
        <v>0</v>
      </c>
      <c r="F16" s="185">
        <f>'[6]Tariffs Summary'!F24</f>
        <v>40.5</v>
      </c>
      <c r="G16" s="185">
        <f>'[6]Tariffs Summary'!G24</f>
        <v>8.5</v>
      </c>
      <c r="H16" s="185">
        <f>'[6]Tariffs Summary'!H24</f>
        <v>37</v>
      </c>
      <c r="I16" s="185">
        <f>'[6]Tariffs Summary'!I24</f>
        <v>10</v>
      </c>
      <c r="J16" s="185">
        <f>'[6]Tariffs Summary'!J24</f>
        <v>10</v>
      </c>
      <c r="K16" s="185">
        <f>'[6]Tariffs Summary'!K24</f>
        <v>0</v>
      </c>
      <c r="L16" s="185">
        <f>'[6]Tariffs Summary'!L24</f>
        <v>0</v>
      </c>
      <c r="M16" s="185">
        <f>'[6]Tariffs Summary'!M24</f>
        <v>0</v>
      </c>
      <c r="N16" s="185">
        <f>'[6]Tariffs Summary'!N24</f>
        <v>0</v>
      </c>
      <c r="O16" s="185">
        <f>'[6]Tariffs Summary'!O24</f>
        <v>0</v>
      </c>
      <c r="P16" s="85">
        <f t="shared" si="0"/>
        <v>277.5</v>
      </c>
    </row>
    <row r="17" spans="1:16" ht="12.75">
      <c r="A17" s="10">
        <v>39706</v>
      </c>
      <c r="B17" s="185">
        <f>'[6]Tariffs Summary'!B25</f>
        <v>0</v>
      </c>
      <c r="C17" s="185">
        <f>'[6]Tariffs Summary'!C25</f>
        <v>48</v>
      </c>
      <c r="D17" s="185">
        <f>'[6]Tariffs Summary'!D25</f>
        <v>30</v>
      </c>
      <c r="E17" s="185">
        <f>'[6]Tariffs Summary'!E25</f>
        <v>0</v>
      </c>
      <c r="F17" s="185">
        <f>'[6]Tariffs Summary'!F25</f>
        <v>145</v>
      </c>
      <c r="G17" s="185">
        <f>'[6]Tariffs Summary'!G25</f>
        <v>6</v>
      </c>
      <c r="H17" s="185">
        <f>'[6]Tariffs Summary'!H25</f>
        <v>4</v>
      </c>
      <c r="I17" s="185">
        <f>'[6]Tariffs Summary'!I25</f>
        <v>10</v>
      </c>
      <c r="J17" s="185">
        <f>'[6]Tariffs Summary'!J25</f>
        <v>4.5</v>
      </c>
      <c r="K17" s="185">
        <f>'[6]Tariffs Summary'!K25</f>
        <v>0</v>
      </c>
      <c r="L17" s="185">
        <f>'[6]Tariffs Summary'!L25</f>
        <v>0</v>
      </c>
      <c r="M17" s="185">
        <f>'[6]Tariffs Summary'!M25</f>
        <v>0</v>
      </c>
      <c r="N17" s="185">
        <f>'[6]Tariffs Summary'!N25</f>
        <v>0</v>
      </c>
      <c r="O17" s="185">
        <f>'[6]Tariffs Summary'!O25</f>
        <v>0</v>
      </c>
      <c r="P17" s="85">
        <f t="shared" si="0"/>
        <v>247.5</v>
      </c>
    </row>
    <row r="18" spans="1:16" ht="12.75">
      <c r="A18" s="10">
        <v>39721</v>
      </c>
      <c r="B18" s="185">
        <f>'[6]Tariffs Summary'!B26</f>
        <v>0</v>
      </c>
      <c r="C18" s="185">
        <f>'[6]Tariffs Summary'!C26</f>
        <v>77</v>
      </c>
      <c r="D18" s="185">
        <f>'[6]Tariffs Summary'!D26</f>
        <v>23.5</v>
      </c>
      <c r="E18" s="185">
        <f>'[6]Tariffs Summary'!E26</f>
        <v>7.5</v>
      </c>
      <c r="F18" s="185">
        <f>'[6]Tariffs Summary'!F26</f>
        <v>148</v>
      </c>
      <c r="G18" s="185">
        <f>'[6]Tariffs Summary'!G26</f>
        <v>3.5</v>
      </c>
      <c r="H18" s="185">
        <f>'[6]Tariffs Summary'!H26</f>
        <v>1</v>
      </c>
      <c r="I18" s="185">
        <f>'[6]Tariffs Summary'!I26</f>
        <v>37.5</v>
      </c>
      <c r="J18" s="185">
        <f>'[6]Tariffs Summary'!J26</f>
        <v>1</v>
      </c>
      <c r="K18" s="185">
        <f>'[6]Tariffs Summary'!K26</f>
        <v>1</v>
      </c>
      <c r="L18" s="185">
        <f>'[6]Tariffs Summary'!L26</f>
        <v>0</v>
      </c>
      <c r="M18" s="185">
        <f>'[6]Tariffs Summary'!M26</f>
        <v>0</v>
      </c>
      <c r="N18" s="185">
        <f>'[6]Tariffs Summary'!N26</f>
        <v>0</v>
      </c>
      <c r="O18" s="185">
        <f>'[6]Tariffs Summary'!O26</f>
        <v>0</v>
      </c>
      <c r="P18" s="85">
        <f t="shared" si="0"/>
        <v>300</v>
      </c>
    </row>
    <row r="19" spans="1:16" ht="12.75">
      <c r="A19" s="10">
        <v>39736</v>
      </c>
      <c r="B19" s="185">
        <f>'[6]Tariffs Summary'!B27</f>
        <v>0</v>
      </c>
      <c r="C19" s="185">
        <f>'[6]Tariffs Summary'!C27</f>
        <v>53</v>
      </c>
      <c r="D19" s="185">
        <f>'[6]Tariffs Summary'!D27</f>
        <v>26</v>
      </c>
      <c r="E19" s="185">
        <f>'[6]Tariffs Summary'!E27</f>
        <v>0</v>
      </c>
      <c r="F19" s="185">
        <f>'[6]Tariffs Summary'!F27</f>
        <v>159.5</v>
      </c>
      <c r="G19" s="185">
        <f>'[6]Tariffs Summary'!G27</f>
        <v>11</v>
      </c>
      <c r="H19" s="185">
        <f>'[6]Tariffs Summary'!H27</f>
        <v>23</v>
      </c>
      <c r="I19" s="185">
        <f>'[6]Tariffs Summary'!I27</f>
        <v>11</v>
      </c>
      <c r="J19" s="185">
        <f>'[6]Tariffs Summary'!J27</f>
        <v>37.5</v>
      </c>
      <c r="K19" s="185">
        <f>'[6]Tariffs Summary'!K27</f>
        <v>5</v>
      </c>
      <c r="L19" s="185">
        <f>'[6]Tariffs Summary'!L27</f>
        <v>0</v>
      </c>
      <c r="M19" s="185">
        <f>'[6]Tariffs Summary'!M27</f>
        <v>2</v>
      </c>
      <c r="N19" s="185">
        <f>'[6]Tariffs Summary'!N27</f>
        <v>2</v>
      </c>
      <c r="O19" s="185">
        <f>'[6]Tariffs Summary'!O27</f>
        <v>0</v>
      </c>
      <c r="P19" s="85">
        <f t="shared" si="0"/>
        <v>330</v>
      </c>
    </row>
    <row r="20" spans="1:16" ht="12.75">
      <c r="A20" s="10">
        <v>39752</v>
      </c>
      <c r="B20" s="185">
        <f>'[6]Tariffs Summary'!B28</f>
        <v>0</v>
      </c>
      <c r="C20" s="185">
        <f>'[6]Tariffs Summary'!C28</f>
        <v>48</v>
      </c>
      <c r="D20" s="185">
        <f>'[6]Tariffs Summary'!D28</f>
        <v>44.5</v>
      </c>
      <c r="E20" s="185">
        <f>'[6]Tariffs Summary'!E28</f>
        <v>2</v>
      </c>
      <c r="F20" s="185">
        <f>'[6]Tariffs Summary'!F28</f>
        <v>187</v>
      </c>
      <c r="G20" s="185">
        <f>'[6]Tariffs Summary'!G28</f>
        <v>14</v>
      </c>
      <c r="H20" s="185">
        <f>'[6]Tariffs Summary'!H28</f>
        <v>35</v>
      </c>
      <c r="I20" s="185">
        <f>'[6]Tariffs Summary'!I28</f>
        <v>9.5</v>
      </c>
      <c r="J20" s="185">
        <f>'[6]Tariffs Summary'!J28</f>
        <v>16</v>
      </c>
      <c r="K20" s="185">
        <f>'[6]Tariffs Summary'!K28</f>
        <v>0</v>
      </c>
      <c r="L20" s="185">
        <f>'[6]Tariffs Summary'!L28</f>
        <v>0</v>
      </c>
      <c r="M20" s="185">
        <f>'[6]Tariffs Summary'!M28</f>
        <v>2</v>
      </c>
      <c r="N20" s="185">
        <f>'[6]Tariffs Summary'!N28</f>
        <v>2</v>
      </c>
      <c r="O20" s="185">
        <f>'[6]Tariffs Summary'!O28</f>
        <v>0</v>
      </c>
      <c r="P20" s="85">
        <f t="shared" si="0"/>
        <v>360</v>
      </c>
    </row>
    <row r="21" spans="1:16" ht="12.75">
      <c r="A21" s="10">
        <v>39767</v>
      </c>
      <c r="B21" s="185">
        <f>'[6]Tariffs Summary'!B29</f>
        <v>0</v>
      </c>
      <c r="C21" s="185">
        <f>'[6]Tariffs Summary'!C29</f>
        <v>36.25</v>
      </c>
      <c r="D21" s="185">
        <f>'[6]Tariffs Summary'!D29</f>
        <v>32.75</v>
      </c>
      <c r="E21" s="185">
        <f>'[6]Tariffs Summary'!E29</f>
        <v>0</v>
      </c>
      <c r="F21" s="185">
        <f>'[6]Tariffs Summary'!F29</f>
        <v>113.5</v>
      </c>
      <c r="G21" s="185">
        <f>'[6]Tariffs Summary'!G29</f>
        <v>23</v>
      </c>
      <c r="H21" s="185">
        <f>'[6]Tariffs Summary'!H29</f>
        <v>4</v>
      </c>
      <c r="I21" s="185">
        <f>'[6]Tariffs Summary'!I29</f>
        <v>10</v>
      </c>
      <c r="J21" s="185">
        <f>'[6]Tariffs Summary'!J29</f>
        <v>37.5</v>
      </c>
      <c r="K21" s="185">
        <f>'[6]Tariffs Summary'!K29</f>
        <v>35.5</v>
      </c>
      <c r="L21" s="185">
        <f>'[6]Tariffs Summary'!L29</f>
        <v>0</v>
      </c>
      <c r="M21" s="185">
        <f>'[6]Tariffs Summary'!M29</f>
        <v>7</v>
      </c>
      <c r="N21" s="185">
        <f>'[6]Tariffs Summary'!N29</f>
        <v>0.5</v>
      </c>
      <c r="O21" s="185">
        <f>'[6]Tariffs Summary'!O29</f>
        <v>0</v>
      </c>
      <c r="P21" s="85">
        <f t="shared" si="0"/>
        <v>300</v>
      </c>
    </row>
    <row r="22" spans="1:16" ht="12.75">
      <c r="A22" s="10">
        <v>39782</v>
      </c>
      <c r="B22" s="185">
        <f>'[6]Tariffs Summary'!B30</f>
        <v>0</v>
      </c>
      <c r="C22" s="185">
        <f>'[6]Tariffs Summary'!C30</f>
        <v>19</v>
      </c>
      <c r="D22" s="185">
        <f>'[6]Tariffs Summary'!D30</f>
        <v>100.25</v>
      </c>
      <c r="E22" s="185">
        <f>'[6]Tariffs Summary'!E30</f>
        <v>0</v>
      </c>
      <c r="F22" s="185">
        <f>'[6]Tariffs Summary'!F30</f>
        <v>95.5</v>
      </c>
      <c r="G22" s="185">
        <f>'[6]Tariffs Summary'!G30</f>
        <v>3.25</v>
      </c>
      <c r="H22" s="185">
        <f>'[6]Tariffs Summary'!H30</f>
        <v>13</v>
      </c>
      <c r="I22" s="185">
        <f>'[6]Tariffs Summary'!I30</f>
        <v>5</v>
      </c>
      <c r="J22" s="185">
        <f>'[6]Tariffs Summary'!J30</f>
        <v>56</v>
      </c>
      <c r="K22" s="185">
        <f>'[6]Tariffs Summary'!K30</f>
        <v>8</v>
      </c>
      <c r="L22" s="185">
        <f>'[6]Tariffs Summary'!L30</f>
        <v>0</v>
      </c>
      <c r="M22" s="185">
        <f>'[6]Tariffs Summary'!M30</f>
        <v>0</v>
      </c>
      <c r="N22" s="185">
        <f>'[6]Tariffs Summary'!N30</f>
        <v>0</v>
      </c>
      <c r="O22" s="185">
        <f>'[6]Tariffs Summary'!O30</f>
        <v>0</v>
      </c>
      <c r="P22" s="85">
        <f t="shared" si="0"/>
        <v>300</v>
      </c>
    </row>
    <row r="23" spans="1:16" ht="12.75">
      <c r="A23" s="10">
        <v>39797</v>
      </c>
      <c r="B23" s="185">
        <f>'[6]Tariffs Summary'!B31</f>
        <v>0</v>
      </c>
      <c r="C23" s="185">
        <f>'[6]Tariffs Summary'!C31</f>
        <v>44</v>
      </c>
      <c r="D23" s="185">
        <f>'[6]Tariffs Summary'!D31</f>
        <v>8.5</v>
      </c>
      <c r="E23" s="185">
        <f>'[6]Tariffs Summary'!E31</f>
        <v>0</v>
      </c>
      <c r="F23" s="185">
        <f>'[6]Tariffs Summary'!F31</f>
        <v>203.75</v>
      </c>
      <c r="G23" s="185">
        <f>'[6]Tariffs Summary'!G31</f>
        <v>9.5</v>
      </c>
      <c r="H23" s="185">
        <f>'[6]Tariffs Summary'!H31</f>
        <v>14</v>
      </c>
      <c r="I23" s="185">
        <f>'[6]Tariffs Summary'!I31</f>
        <v>8.75</v>
      </c>
      <c r="J23" s="185">
        <f>'[6]Tariffs Summary'!J31</f>
        <v>18</v>
      </c>
      <c r="K23" s="185">
        <f>'[6]Tariffs Summary'!K31</f>
        <v>12</v>
      </c>
      <c r="L23" s="185">
        <f>'[6]Tariffs Summary'!L31</f>
        <v>0</v>
      </c>
      <c r="M23" s="185">
        <f>'[6]Tariffs Summary'!M31</f>
        <v>11.5</v>
      </c>
      <c r="N23" s="185">
        <f>'[6]Tariffs Summary'!N31</f>
        <v>0</v>
      </c>
      <c r="O23" s="185">
        <f>'[6]Tariffs Summary'!O31</f>
        <v>0</v>
      </c>
      <c r="P23" s="85">
        <f t="shared" si="0"/>
        <v>330</v>
      </c>
    </row>
    <row r="24" spans="1:16" ht="12.75">
      <c r="A24" s="10">
        <v>39813</v>
      </c>
      <c r="B24" s="185">
        <f>'[6]Tariffs Summary'!B32</f>
        <v>0</v>
      </c>
      <c r="C24" s="185">
        <f>'[6]Tariffs Summary'!C32</f>
        <v>41</v>
      </c>
      <c r="D24" s="185">
        <f>'[6]Tariffs Summary'!D32</f>
        <v>75.5</v>
      </c>
      <c r="E24" s="185">
        <f>'[6]Tariffs Summary'!E32</f>
        <v>0</v>
      </c>
      <c r="F24" s="185">
        <f>'[6]Tariffs Summary'!F32</f>
        <v>190</v>
      </c>
      <c r="G24" s="185">
        <f>'[6]Tariffs Summary'!G32</f>
        <v>0</v>
      </c>
      <c r="H24" s="185">
        <f>'[6]Tariffs Summary'!H32</f>
        <v>20</v>
      </c>
      <c r="I24" s="185">
        <f>'[6]Tariffs Summary'!I32</f>
        <v>8</v>
      </c>
      <c r="J24" s="185">
        <f>'[6]Tariffs Summary'!J32</f>
        <v>13.5</v>
      </c>
      <c r="K24" s="185">
        <f>'[6]Tariffs Summary'!K32</f>
        <v>0</v>
      </c>
      <c r="L24" s="185">
        <f>'[6]Tariffs Summary'!L32</f>
        <v>0</v>
      </c>
      <c r="M24" s="185">
        <f>'[6]Tariffs Summary'!M32</f>
        <v>12</v>
      </c>
      <c r="N24" s="185">
        <f>'[6]Tariffs Summary'!N32</f>
        <v>0</v>
      </c>
      <c r="O24" s="185">
        <f>'[6]Tariffs Summary'!O32</f>
        <v>0</v>
      </c>
      <c r="P24" s="85">
        <f t="shared" si="0"/>
        <v>360</v>
      </c>
    </row>
    <row r="25" spans="1:16" ht="12.75">
      <c r="A25" s="10">
        <v>39828</v>
      </c>
      <c r="B25" s="185">
        <f>'[7]Tariffs Summary'!B9</f>
        <v>0</v>
      </c>
      <c r="C25" s="185">
        <f>'[7]Tariffs Summary'!C9</f>
        <v>30</v>
      </c>
      <c r="D25" s="185">
        <f>'[7]Tariffs Summary'!D9</f>
        <v>87</v>
      </c>
      <c r="E25" s="185">
        <f>'[7]Tariffs Summary'!E9</f>
        <v>0</v>
      </c>
      <c r="F25" s="185">
        <f>'[7]Tariffs Summary'!F9</f>
        <v>30.5</v>
      </c>
      <c r="G25" s="185">
        <f>'[7]Tariffs Summary'!G9</f>
        <v>1</v>
      </c>
      <c r="H25" s="185">
        <f>'[7]Tariffs Summary'!H9</f>
        <v>2</v>
      </c>
      <c r="I25" s="185">
        <f>'[7]Tariffs Summary'!I9</f>
        <v>0</v>
      </c>
      <c r="J25" s="185">
        <f>'[7]Tariffs Summary'!J9</f>
        <v>2</v>
      </c>
      <c r="K25" s="185">
        <f>'[7]Tariffs Summary'!K9</f>
        <v>2</v>
      </c>
      <c r="L25" s="185">
        <f>'[7]Tariffs Summary'!L9</f>
        <v>0</v>
      </c>
      <c r="M25" s="185">
        <f>'[7]Tariffs Summary'!M9</f>
        <v>2</v>
      </c>
      <c r="N25" s="185">
        <f>'[7]Tariffs Summary'!N9</f>
        <v>1</v>
      </c>
      <c r="O25" s="185">
        <f>'[7]Tariffs Summary'!O9</f>
        <v>7.5</v>
      </c>
      <c r="P25" s="85">
        <f t="shared" si="0"/>
        <v>165</v>
      </c>
    </row>
    <row r="26" spans="1:16" ht="12.75">
      <c r="A26" s="10">
        <v>39844</v>
      </c>
      <c r="B26" s="185">
        <f>'[7]Tariffs Summary'!B10</f>
        <v>0</v>
      </c>
      <c r="C26" s="185">
        <f>'[7]Tariffs Summary'!C10</f>
        <v>52.5</v>
      </c>
      <c r="D26" s="185">
        <f>'[7]Tariffs Summary'!D10</f>
        <v>37.5</v>
      </c>
      <c r="E26" s="185">
        <f>'[7]Tariffs Summary'!E10</f>
        <v>0</v>
      </c>
      <c r="F26" s="185">
        <f>'[7]Tariffs Summary'!F10</f>
        <v>45</v>
      </c>
      <c r="G26" s="185">
        <f>'[7]Tariffs Summary'!G10</f>
        <v>0</v>
      </c>
      <c r="H26" s="185">
        <f>'[7]Tariffs Summary'!H10</f>
        <v>0</v>
      </c>
      <c r="I26" s="185">
        <f>'[7]Tariffs Summary'!I10</f>
        <v>0</v>
      </c>
      <c r="J26" s="185">
        <f>'[7]Tariffs Summary'!J10</f>
        <v>0</v>
      </c>
      <c r="K26" s="185">
        <f>'[7]Tariffs Summary'!K10</f>
        <v>0</v>
      </c>
      <c r="L26" s="185">
        <f>'[7]Tariffs Summary'!L10</f>
        <v>0</v>
      </c>
      <c r="M26" s="185">
        <f>'[7]Tariffs Summary'!M10</f>
        <v>7.5</v>
      </c>
      <c r="N26" s="185">
        <f>'[7]Tariffs Summary'!N10</f>
        <v>0</v>
      </c>
      <c r="O26" s="185">
        <f>'[7]Tariffs Summary'!O10</f>
        <v>22.5</v>
      </c>
      <c r="P26" s="85">
        <f t="shared" si="0"/>
        <v>165</v>
      </c>
    </row>
    <row r="27" spans="1:16" ht="12.75">
      <c r="A27" s="10">
        <v>39859</v>
      </c>
      <c r="B27" s="185">
        <f>'[7]Tariffs Summary'!B11</f>
        <v>0</v>
      </c>
      <c r="C27" s="185">
        <f>'[7]Tariffs Summary'!C11</f>
        <v>37.5</v>
      </c>
      <c r="D27" s="185">
        <f>'[7]Tariffs Summary'!D11</f>
        <v>0</v>
      </c>
      <c r="E27" s="185">
        <f>'[7]Tariffs Summary'!E11</f>
        <v>2</v>
      </c>
      <c r="F27" s="185">
        <f>'[7]Tariffs Summary'!F11</f>
        <v>86</v>
      </c>
      <c r="G27" s="185">
        <f>'[7]Tariffs Summary'!G11</f>
        <v>0</v>
      </c>
      <c r="H27" s="185">
        <f>'[7]Tariffs Summary'!H11</f>
        <v>5</v>
      </c>
      <c r="I27" s="185">
        <f>'[7]Tariffs Summary'!I11</f>
        <v>4</v>
      </c>
      <c r="J27" s="185">
        <f>'[7]Tariffs Summary'!J11</f>
        <v>13</v>
      </c>
      <c r="K27" s="185">
        <f>'[7]Tariffs Summary'!K11</f>
        <v>0</v>
      </c>
      <c r="L27" s="185">
        <f>'[7]Tariffs Summary'!L11</f>
        <v>2.5</v>
      </c>
      <c r="M27" s="185">
        <f>'[7]Tariffs Summary'!M11</f>
        <v>0</v>
      </c>
      <c r="N27" s="185">
        <f>'[7]Tariffs Summary'!N11</f>
        <v>0</v>
      </c>
      <c r="O27" s="185">
        <f>'[7]Tariffs Summary'!O11</f>
        <v>0</v>
      </c>
      <c r="P27" s="85">
        <f t="shared" si="0"/>
        <v>150</v>
      </c>
    </row>
    <row r="28" spans="1:16" ht="12.75">
      <c r="A28" s="10">
        <v>39872</v>
      </c>
      <c r="B28" s="185">
        <f>'[7]Tariffs Summary'!B12</f>
        <v>0</v>
      </c>
      <c r="C28" s="185">
        <f>'[7]Tariffs Summary'!C12</f>
        <v>35</v>
      </c>
      <c r="D28" s="185">
        <f>'[7]Tariffs Summary'!D12</f>
        <v>26</v>
      </c>
      <c r="E28" s="185">
        <f>'[7]Tariffs Summary'!E12</f>
        <v>2</v>
      </c>
      <c r="F28" s="185">
        <f>'[7]Tariffs Summary'!F12</f>
        <v>76</v>
      </c>
      <c r="G28" s="185">
        <f>'[7]Tariffs Summary'!G12</f>
        <v>5</v>
      </c>
      <c r="H28" s="185">
        <f>'[7]Tariffs Summary'!H12</f>
        <v>2</v>
      </c>
      <c r="I28" s="185">
        <f>'[7]Tariffs Summary'!I12</f>
        <v>2</v>
      </c>
      <c r="J28" s="185">
        <f>'[7]Tariffs Summary'!J12</f>
        <v>2</v>
      </c>
      <c r="K28" s="185">
        <f>'[7]Tariffs Summary'!K12</f>
        <v>0</v>
      </c>
      <c r="L28" s="185">
        <f>'[7]Tariffs Summary'!L12</f>
        <v>0</v>
      </c>
      <c r="M28" s="185">
        <f>'[7]Tariffs Summary'!M12</f>
        <v>0</v>
      </c>
      <c r="N28" s="185">
        <f>'[7]Tariffs Summary'!N12</f>
        <v>0</v>
      </c>
      <c r="O28" s="185">
        <f>'[7]Tariffs Summary'!O12</f>
        <v>0</v>
      </c>
      <c r="P28" s="85">
        <f t="shared" si="0"/>
        <v>150</v>
      </c>
    </row>
    <row r="29" spans="1:16" ht="12.75">
      <c r="A29" s="10">
        <v>39887</v>
      </c>
      <c r="B29" s="185">
        <f>'[7]Tariffs Summary'!B13</f>
        <v>0</v>
      </c>
      <c r="C29" s="185">
        <f>'[7]Tariffs Summary'!C13</f>
        <v>0</v>
      </c>
      <c r="D29" s="185">
        <f>'[7]Tariffs Summary'!D13</f>
        <v>75</v>
      </c>
      <c r="E29" s="185">
        <f>'[7]Tariffs Summary'!E13</f>
        <v>0</v>
      </c>
      <c r="F29" s="185">
        <f>'[7]Tariffs Summary'!F13</f>
        <v>71</v>
      </c>
      <c r="G29" s="185">
        <f>'[7]Tariffs Summary'!G13</f>
        <v>0</v>
      </c>
      <c r="H29" s="185">
        <f>'[7]Tariffs Summary'!H13</f>
        <v>0</v>
      </c>
      <c r="I29" s="185">
        <f>'[7]Tariffs Summary'!I13</f>
        <v>0</v>
      </c>
      <c r="J29" s="185">
        <f>'[7]Tariffs Summary'!J13</f>
        <v>0</v>
      </c>
      <c r="K29" s="185">
        <f>'[7]Tariffs Summary'!K13</f>
        <v>4</v>
      </c>
      <c r="L29" s="185">
        <f>'[7]Tariffs Summary'!L13</f>
        <v>0</v>
      </c>
      <c r="M29" s="185">
        <f>'[7]Tariffs Summary'!M13</f>
        <v>0</v>
      </c>
      <c r="N29" s="185">
        <f>'[7]Tariffs Summary'!N13</f>
        <v>0</v>
      </c>
      <c r="O29" s="185">
        <f>'[7]Tariffs Summary'!O13</f>
        <v>0</v>
      </c>
      <c r="P29" s="85">
        <f t="shared" si="0"/>
        <v>150</v>
      </c>
    </row>
    <row r="30" spans="1:16" ht="12.75">
      <c r="A30" s="10">
        <v>39903</v>
      </c>
      <c r="B30" s="185">
        <f>'[7]Tariffs Summary'!B14</f>
        <v>0</v>
      </c>
      <c r="C30" s="185">
        <f>'[7]Tariffs Summary'!C14</f>
        <v>31</v>
      </c>
      <c r="D30" s="185">
        <f>'[7]Tariffs Summary'!D14</f>
        <v>7.5</v>
      </c>
      <c r="E30" s="185">
        <f>'[7]Tariffs Summary'!E14</f>
        <v>0</v>
      </c>
      <c r="F30" s="185">
        <f>'[7]Tariffs Summary'!F14</f>
        <v>117.5</v>
      </c>
      <c r="G30" s="185">
        <f>'[7]Tariffs Summary'!G14</f>
        <v>0</v>
      </c>
      <c r="H30" s="185">
        <f>'[7]Tariffs Summary'!H14</f>
        <v>11</v>
      </c>
      <c r="I30" s="185">
        <f>'[7]Tariffs Summary'!I14</f>
        <v>1</v>
      </c>
      <c r="J30" s="185">
        <f>'[7]Tariffs Summary'!J14</f>
        <v>9</v>
      </c>
      <c r="K30" s="185">
        <f>'[7]Tariffs Summary'!K14</f>
        <v>0</v>
      </c>
      <c r="L30" s="185">
        <f>'[7]Tariffs Summary'!L14</f>
        <v>0</v>
      </c>
      <c r="M30" s="185">
        <f>'[7]Tariffs Summary'!M14</f>
        <v>3</v>
      </c>
      <c r="N30" s="185">
        <f>'[7]Tariffs Summary'!N14</f>
        <v>0</v>
      </c>
      <c r="O30" s="185">
        <f>'[7]Tariffs Summary'!O14</f>
        <v>0</v>
      </c>
      <c r="P30" s="85">
        <f t="shared" si="0"/>
        <v>180</v>
      </c>
    </row>
    <row r="31" spans="1:16" ht="12.75">
      <c r="A31" s="10">
        <v>39918</v>
      </c>
      <c r="B31" s="185">
        <f>'[7]Tariffs Summary'!B15</f>
        <v>0</v>
      </c>
      <c r="C31" s="185">
        <f>'[7]Tariffs Summary'!C15</f>
        <v>30</v>
      </c>
      <c r="D31" s="185">
        <f>'[7]Tariffs Summary'!D15</f>
        <v>15</v>
      </c>
      <c r="E31" s="185">
        <f>'[7]Tariffs Summary'!E15</f>
        <v>0</v>
      </c>
      <c r="F31" s="185">
        <f>'[7]Tariffs Summary'!F15</f>
        <v>97.5</v>
      </c>
      <c r="G31" s="185">
        <f>'[7]Tariffs Summary'!G15</f>
        <v>0</v>
      </c>
      <c r="H31" s="185">
        <f>'[7]Tariffs Summary'!H15</f>
        <v>0</v>
      </c>
      <c r="I31" s="185">
        <f>'[7]Tariffs Summary'!I15</f>
        <v>0</v>
      </c>
      <c r="J31" s="185">
        <f>'[7]Tariffs Summary'!J15</f>
        <v>5</v>
      </c>
      <c r="K31" s="185">
        <f>'[7]Tariffs Summary'!K15</f>
        <v>0</v>
      </c>
      <c r="L31" s="185">
        <f>'[7]Tariffs Summary'!L15</f>
        <v>0</v>
      </c>
      <c r="M31" s="185">
        <f>'[7]Tariffs Summary'!M15</f>
        <v>15</v>
      </c>
      <c r="N31" s="185">
        <f>'[7]Tariffs Summary'!N15</f>
        <v>0</v>
      </c>
      <c r="O31" s="185">
        <f>'[7]Tariffs Summary'!O15</f>
        <v>2.5</v>
      </c>
      <c r="P31" s="85">
        <f t="shared" si="0"/>
        <v>165</v>
      </c>
    </row>
    <row r="32" spans="1:16" ht="12.75">
      <c r="A32" s="10">
        <v>39933</v>
      </c>
      <c r="B32" s="185">
        <f>'[7]Tariffs Summary'!B16</f>
        <v>0</v>
      </c>
      <c r="C32" s="185">
        <f>'[7]Tariffs Summary'!C16</f>
        <v>29.5</v>
      </c>
      <c r="D32" s="185">
        <f>'[7]Tariffs Summary'!D16</f>
        <v>0</v>
      </c>
      <c r="E32" s="185">
        <f>'[7]Tariffs Summary'!E16</f>
        <v>2</v>
      </c>
      <c r="F32" s="185">
        <f>'[7]Tariffs Summary'!F16</f>
        <v>82.5</v>
      </c>
      <c r="G32" s="185">
        <f>'[7]Tariffs Summary'!G16</f>
        <v>16</v>
      </c>
      <c r="H32" s="185">
        <f>'[7]Tariffs Summary'!H16</f>
        <v>4</v>
      </c>
      <c r="I32" s="185">
        <f>'[7]Tariffs Summary'!I16</f>
        <v>12.5</v>
      </c>
      <c r="J32" s="185">
        <f>'[7]Tariffs Summary'!J16</f>
        <v>6</v>
      </c>
      <c r="K32" s="185">
        <f>'[7]Tariffs Summary'!K16</f>
        <v>1.5</v>
      </c>
      <c r="L32" s="185">
        <f>'[7]Tariffs Summary'!L16</f>
        <v>2</v>
      </c>
      <c r="M32" s="185">
        <f>'[7]Tariffs Summary'!M16</f>
        <v>8</v>
      </c>
      <c r="N32" s="185">
        <f>'[7]Tariffs Summary'!N16</f>
        <v>0</v>
      </c>
      <c r="O32" s="185">
        <f>'[7]Tariffs Summary'!O16</f>
        <v>1</v>
      </c>
      <c r="P32" s="85">
        <f t="shared" si="0"/>
        <v>165</v>
      </c>
    </row>
    <row r="33" spans="3:16" ht="13.5" thickBot="1">
      <c r="C33" s="11">
        <f>SUM(C9:C32)</f>
        <v>1080.25</v>
      </c>
      <c r="D33" s="11">
        <f aca="true" t="shared" si="1" ref="D33:P33">SUM(D9:D32)</f>
        <v>721.5</v>
      </c>
      <c r="E33" s="11">
        <f t="shared" si="1"/>
        <v>37</v>
      </c>
      <c r="F33" s="11">
        <f t="shared" si="1"/>
        <v>2446.75</v>
      </c>
      <c r="G33" s="11">
        <f t="shared" si="1"/>
        <v>170.25</v>
      </c>
      <c r="H33" s="11">
        <f t="shared" si="1"/>
        <v>396.5</v>
      </c>
      <c r="I33" s="11">
        <f t="shared" si="1"/>
        <v>170.25</v>
      </c>
      <c r="J33" s="11">
        <f t="shared" si="1"/>
        <v>325.5</v>
      </c>
      <c r="K33" s="11">
        <f t="shared" si="1"/>
        <v>111.5</v>
      </c>
      <c r="L33" s="11">
        <f t="shared" si="1"/>
        <v>9.5</v>
      </c>
      <c r="M33" s="11">
        <f t="shared" si="1"/>
        <v>143</v>
      </c>
      <c r="N33" s="11">
        <f t="shared" si="1"/>
        <v>13.5</v>
      </c>
      <c r="O33" s="11">
        <f t="shared" si="1"/>
        <v>33.5</v>
      </c>
      <c r="P33" s="11">
        <f t="shared" si="1"/>
        <v>5659</v>
      </c>
    </row>
    <row r="34" ht="13.5" thickTop="1"/>
    <row r="35" spans="3:16" ht="12.75">
      <c r="C35" s="14">
        <f>+C33/P33</f>
        <v>0.1908906167167344</v>
      </c>
      <c r="D35" s="14">
        <f>+D33/P33</f>
        <v>0.1274960240325146</v>
      </c>
      <c r="E35" s="14">
        <f>+E33/P33</f>
        <v>0.0065382576426930555</v>
      </c>
      <c r="F35" s="14">
        <f>+F33/P33</f>
        <v>0.4323643753313306</v>
      </c>
      <c r="G35" s="14">
        <f>+G33/P33</f>
        <v>0.03008482063968899</v>
      </c>
      <c r="H35" s="14">
        <f>+H33/P33</f>
        <v>0.07006538257642693</v>
      </c>
      <c r="I35" s="14">
        <f>+I33/P33</f>
        <v>0.03008482063968899</v>
      </c>
      <c r="J35" s="14">
        <f>+J33/P33</f>
        <v>0.05751899628909701</v>
      </c>
      <c r="K35" s="14">
        <f>+K33/P33</f>
        <v>0.01970312776108853</v>
      </c>
      <c r="L35" s="14">
        <f>+L33/P33</f>
        <v>0.0016787418271779467</v>
      </c>
      <c r="M35" s="14">
        <f>+M33/P33</f>
        <v>0.025269482240678567</v>
      </c>
      <c r="N35" s="14">
        <f>+N33/P33</f>
        <v>0.0023855804912528717</v>
      </c>
      <c r="O35" s="14">
        <f>+O33/P33</f>
        <v>0.005919773811627496</v>
      </c>
      <c r="P35" s="14">
        <f>SUM(C35:O35)</f>
        <v>1</v>
      </c>
    </row>
    <row r="36" ht="12.75">
      <c r="O36" s="186"/>
    </row>
    <row r="37" spans="1:16" ht="13.5" thickBot="1">
      <c r="A37" t="s">
        <v>24</v>
      </c>
      <c r="E37" s="12"/>
      <c r="F37" s="11">
        <f>+F33</f>
        <v>2446.75</v>
      </c>
      <c r="G37" s="11">
        <f aca="true" t="shared" si="2" ref="G37:N37">+G33</f>
        <v>170.25</v>
      </c>
      <c r="H37" s="11">
        <f t="shared" si="2"/>
        <v>396.5</v>
      </c>
      <c r="I37" s="11">
        <f t="shared" si="2"/>
        <v>170.25</v>
      </c>
      <c r="J37" s="11">
        <f t="shared" si="2"/>
        <v>325.5</v>
      </c>
      <c r="K37" s="11">
        <f t="shared" si="2"/>
        <v>111.5</v>
      </c>
      <c r="L37" s="11">
        <f t="shared" si="2"/>
        <v>9.5</v>
      </c>
      <c r="M37" s="11">
        <f t="shared" si="2"/>
        <v>143</v>
      </c>
      <c r="N37" s="11">
        <f t="shared" si="2"/>
        <v>13.5</v>
      </c>
      <c r="O37" s="186"/>
      <c r="P37" s="11">
        <f>SUM(F37:N37)</f>
        <v>3786.75</v>
      </c>
    </row>
    <row r="38" spans="5:15" ht="13.5" thickTop="1">
      <c r="E38" s="12"/>
      <c r="O38" s="186"/>
    </row>
    <row r="39" spans="5:16" ht="12.75">
      <c r="E39" s="12"/>
      <c r="F39" s="14">
        <f>+F37/$P$37</f>
        <v>0.6461345480953324</v>
      </c>
      <c r="G39" s="14">
        <f aca="true" t="shared" si="3" ref="G39:N39">+G37/$P$37</f>
        <v>0.04495939790057437</v>
      </c>
      <c r="H39" s="14">
        <f t="shared" si="3"/>
        <v>0.10470720274641843</v>
      </c>
      <c r="I39" s="14">
        <f t="shared" si="3"/>
        <v>0.04495939790057437</v>
      </c>
      <c r="J39" s="14">
        <f t="shared" si="3"/>
        <v>0.08595761536938007</v>
      </c>
      <c r="K39" s="14">
        <f t="shared" si="3"/>
        <v>0.02944477454281376</v>
      </c>
      <c r="L39" s="14">
        <f t="shared" si="3"/>
        <v>0.0025087476067868226</v>
      </c>
      <c r="M39" s="14">
        <f t="shared" si="3"/>
        <v>0.03776325344952796</v>
      </c>
      <c r="N39" s="14">
        <f t="shared" si="3"/>
        <v>0.0035650623885918</v>
      </c>
      <c r="O39" s="187"/>
      <c r="P39" s="14">
        <f>+P37/$P$37</f>
        <v>1</v>
      </c>
    </row>
  </sheetData>
  <sheetProtection/>
  <printOptions/>
  <pageMargins left="0.5" right="0.5" top="1" bottom="0.32" header="0.17" footer="0.17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B32" sqref="B32"/>
    </sheetView>
  </sheetViews>
  <sheetFormatPr defaultColWidth="9.140625" defaultRowHeight="12.75"/>
  <cols>
    <col min="1" max="2" width="10.421875" style="0" customWidth="1"/>
    <col min="3" max="3" width="13.140625" style="1" customWidth="1"/>
    <col min="4" max="4" width="11.421875" style="1" customWidth="1"/>
    <col min="5" max="5" width="15.8515625" style="1" customWidth="1"/>
    <col min="6" max="6" width="11.8515625" style="1" customWidth="1"/>
    <col min="7" max="7" width="10.28125" style="1" customWidth="1"/>
    <col min="8" max="8" width="10.140625" style="1" customWidth="1"/>
    <col min="9" max="9" width="13.57421875" style="1" customWidth="1"/>
    <col min="10" max="11" width="11.7109375" style="1" customWidth="1"/>
    <col min="12" max="12" width="9.140625" style="1" customWidth="1"/>
    <col min="13" max="13" width="11.7109375" style="1" bestFit="1" customWidth="1"/>
    <col min="14" max="14" width="9.140625" style="1" customWidth="1"/>
    <col min="15" max="15" width="16.57421875" style="1" customWidth="1"/>
    <col min="16" max="16" width="10.421875" style="1" bestFit="1" customWidth="1"/>
  </cols>
  <sheetData>
    <row r="1" spans="1:5" ht="12.75">
      <c r="A1" s="13" t="s">
        <v>119</v>
      </c>
      <c r="B1" s="13"/>
      <c r="E1" s="2"/>
    </row>
    <row r="2" spans="1:5" ht="12.75">
      <c r="A2" s="13"/>
      <c r="B2" s="13"/>
      <c r="E2" s="2"/>
    </row>
    <row r="3" ht="12.75">
      <c r="E3" s="2"/>
    </row>
    <row r="4" spans="5:16" ht="12.75">
      <c r="E4" s="3" t="s">
        <v>115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8.25">
      <c r="A5" s="5" t="s">
        <v>8</v>
      </c>
      <c r="B5" s="5" t="s">
        <v>196</v>
      </c>
      <c r="C5" s="7" t="s">
        <v>9</v>
      </c>
      <c r="D5" s="6"/>
      <c r="E5" s="7" t="s">
        <v>120</v>
      </c>
      <c r="F5" s="7"/>
      <c r="G5" s="7"/>
      <c r="H5" s="7" t="s">
        <v>11</v>
      </c>
      <c r="I5" s="7"/>
      <c r="J5" s="7"/>
      <c r="K5" s="7"/>
      <c r="L5" s="7"/>
      <c r="M5" s="7"/>
      <c r="N5" s="7"/>
      <c r="O5" s="7" t="s">
        <v>202</v>
      </c>
      <c r="P5" s="8"/>
    </row>
    <row r="6" spans="3:16" ht="12.75">
      <c r="C6" s="9" t="s">
        <v>12</v>
      </c>
      <c r="D6" s="9" t="s">
        <v>13</v>
      </c>
      <c r="E6" s="9" t="s">
        <v>10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 t="s">
        <v>198</v>
      </c>
      <c r="P6" s="9" t="s">
        <v>23</v>
      </c>
    </row>
    <row r="9" spans="1:16" ht="12.75">
      <c r="A9" s="10">
        <v>39583</v>
      </c>
      <c r="B9" s="85">
        <f>'[8]Fin Summary'!B17</f>
        <v>0</v>
      </c>
      <c r="C9" s="85">
        <f>'[8]Fin Summary'!C17</f>
        <v>9.25</v>
      </c>
      <c r="D9" s="85">
        <f>'[8]Fin Summary'!D17</f>
        <v>0</v>
      </c>
      <c r="E9" s="85">
        <f>'[8]Fin Summary'!E17</f>
        <v>79.25</v>
      </c>
      <c r="F9" s="85">
        <f>'[8]Fin Summary'!F17</f>
        <v>67</v>
      </c>
      <c r="G9" s="85">
        <f>'[8]Fin Summary'!G17</f>
        <v>20.75</v>
      </c>
      <c r="H9" s="85">
        <f>'[8]Fin Summary'!H17</f>
        <v>59.25</v>
      </c>
      <c r="I9" s="85">
        <f>'[8]Fin Summary'!I17</f>
        <v>1.75</v>
      </c>
      <c r="J9" s="85">
        <f>'[8]Fin Summary'!J17</f>
        <v>0</v>
      </c>
      <c r="K9" s="85">
        <f>'[8]Fin Summary'!K17</f>
        <v>0</v>
      </c>
      <c r="L9" s="85">
        <f>'[8]Fin Summary'!L17</f>
        <v>0</v>
      </c>
      <c r="M9" s="85">
        <f>'[8]Fin Summary'!M17</f>
        <v>10.25</v>
      </c>
      <c r="N9" s="85">
        <f>'[8]Fin Summary'!N17</f>
        <v>0</v>
      </c>
      <c r="O9" s="85">
        <f>'[8]Fin Summary'!O17</f>
        <v>0</v>
      </c>
      <c r="P9" s="85">
        <f>SUM(C9:O9)</f>
        <v>247.5</v>
      </c>
    </row>
    <row r="10" spans="1:16" ht="12.75">
      <c r="A10" s="10">
        <v>39599</v>
      </c>
      <c r="B10" s="85">
        <f>'[8]Fin Summary'!B18</f>
        <v>0</v>
      </c>
      <c r="C10" s="85">
        <f>'[8]Fin Summary'!C18</f>
        <v>4.25</v>
      </c>
      <c r="D10" s="85">
        <f>'[8]Fin Summary'!D18</f>
        <v>71</v>
      </c>
      <c r="E10" s="85">
        <f>'[8]Fin Summary'!E18</f>
        <v>67.25</v>
      </c>
      <c r="F10" s="85">
        <f>'[8]Fin Summary'!F18</f>
        <v>40</v>
      </c>
      <c r="G10" s="85">
        <f>'[8]Fin Summary'!G18</f>
        <v>60</v>
      </c>
      <c r="H10" s="85">
        <f>'[8]Fin Summary'!H18</f>
        <v>5</v>
      </c>
      <c r="I10" s="85">
        <f>'[8]Fin Summary'!I18</f>
        <v>0</v>
      </c>
      <c r="J10" s="85">
        <f>'[8]Fin Summary'!J18</f>
        <v>0</v>
      </c>
      <c r="K10" s="85">
        <f>'[8]Fin Summary'!K18</f>
        <v>0</v>
      </c>
      <c r="L10" s="85">
        <f>'[8]Fin Summary'!L18</f>
        <v>0</v>
      </c>
      <c r="M10" s="85">
        <f>'[8]Fin Summary'!M18</f>
        <v>0</v>
      </c>
      <c r="N10" s="85">
        <f>'[8]Fin Summary'!N18</f>
        <v>0</v>
      </c>
      <c r="O10" s="85">
        <f>'[8]Fin Summary'!O18</f>
        <v>0</v>
      </c>
      <c r="P10" s="85">
        <f aca="true" t="shared" si="0" ref="P10:P32">SUM(C10:O10)</f>
        <v>247.5</v>
      </c>
    </row>
    <row r="11" spans="1:16" ht="12.75">
      <c r="A11" s="10">
        <v>39614</v>
      </c>
      <c r="B11" s="85">
        <f>'[8]Fin Summary'!B19</f>
        <v>0</v>
      </c>
      <c r="C11" s="85">
        <f>'[8]Fin Summary'!C19</f>
        <v>5.25</v>
      </c>
      <c r="D11" s="85">
        <f>'[8]Fin Summary'!D19</f>
        <v>7.5</v>
      </c>
      <c r="E11" s="85">
        <f>'[8]Fin Summary'!E19</f>
        <v>78.5</v>
      </c>
      <c r="F11" s="85">
        <f>'[8]Fin Summary'!F19</f>
        <v>37</v>
      </c>
      <c r="G11" s="85">
        <f>'[8]Fin Summary'!G19</f>
        <v>25</v>
      </c>
      <c r="H11" s="85">
        <f>'[8]Fin Summary'!H19</f>
        <v>71.75</v>
      </c>
      <c r="I11" s="85">
        <f>'[8]Fin Summary'!I19</f>
        <v>0</v>
      </c>
      <c r="J11" s="85">
        <f>'[8]Fin Summary'!J19</f>
        <v>0</v>
      </c>
      <c r="K11" s="85">
        <f>'[8]Fin Summary'!K19</f>
        <v>0</v>
      </c>
      <c r="L11" s="85">
        <f>'[8]Fin Summary'!L19</f>
        <v>0</v>
      </c>
      <c r="M11" s="85">
        <f>'[8]Fin Summary'!M19</f>
        <v>0</v>
      </c>
      <c r="N11" s="85">
        <f>'[8]Fin Summary'!N19</f>
        <v>0</v>
      </c>
      <c r="O11" s="85">
        <f>'[8]Fin Summary'!O19</f>
        <v>0</v>
      </c>
      <c r="P11" s="85">
        <f t="shared" si="0"/>
        <v>225</v>
      </c>
    </row>
    <row r="12" spans="1:16" ht="12.75">
      <c r="A12" s="10">
        <v>39629</v>
      </c>
      <c r="B12" s="85">
        <f>'[8]Fin Summary'!B20</f>
        <v>0</v>
      </c>
      <c r="C12" s="85">
        <f>'[8]Fin Summary'!C20</f>
        <v>2.75</v>
      </c>
      <c r="D12" s="85">
        <f>'[8]Fin Summary'!D20</f>
        <v>28</v>
      </c>
      <c r="E12" s="85">
        <f>'[8]Fin Summary'!E20</f>
        <v>67</v>
      </c>
      <c r="F12" s="85">
        <f>'[8]Fin Summary'!F20</f>
        <v>0</v>
      </c>
      <c r="G12" s="85">
        <f>'[8]Fin Summary'!G20</f>
        <v>95.75</v>
      </c>
      <c r="H12" s="85">
        <f>'[8]Fin Summary'!H20</f>
        <v>54</v>
      </c>
      <c r="I12" s="85">
        <f>'[8]Fin Summary'!I20</f>
        <v>0</v>
      </c>
      <c r="J12" s="85">
        <f>'[8]Fin Summary'!J20</f>
        <v>0</v>
      </c>
      <c r="K12" s="85">
        <f>'[8]Fin Summary'!K20</f>
        <v>0</v>
      </c>
      <c r="L12" s="85">
        <f>'[8]Fin Summary'!L20</f>
        <v>0</v>
      </c>
      <c r="M12" s="85">
        <f>'[8]Fin Summary'!M20</f>
        <v>0</v>
      </c>
      <c r="N12" s="85">
        <f>'[8]Fin Summary'!N20</f>
        <v>0</v>
      </c>
      <c r="O12" s="85">
        <f>'[8]Fin Summary'!O20</f>
        <v>0</v>
      </c>
      <c r="P12" s="85">
        <f t="shared" si="0"/>
        <v>247.5</v>
      </c>
    </row>
    <row r="13" spans="1:16" ht="12.75">
      <c r="A13" s="10">
        <v>39644</v>
      </c>
      <c r="B13" s="85">
        <f>'[8]Fin Summary'!B21</f>
        <v>0</v>
      </c>
      <c r="C13" s="85">
        <f>'[8]Fin Summary'!C21</f>
        <v>6.5</v>
      </c>
      <c r="D13" s="85">
        <f>'[8]Fin Summary'!D21</f>
        <v>22.5</v>
      </c>
      <c r="E13" s="85">
        <f>'[8]Fin Summary'!E21</f>
        <v>85.75</v>
      </c>
      <c r="F13" s="85">
        <f>'[8]Fin Summary'!F21</f>
        <v>31.75</v>
      </c>
      <c r="G13" s="85">
        <f>'[8]Fin Summary'!G21</f>
        <v>82.25</v>
      </c>
      <c r="H13" s="85">
        <f>'[8]Fin Summary'!H21</f>
        <v>10.5</v>
      </c>
      <c r="I13" s="85">
        <f>'[8]Fin Summary'!I21</f>
        <v>0</v>
      </c>
      <c r="J13" s="85">
        <f>'[8]Fin Summary'!J21</f>
        <v>0</v>
      </c>
      <c r="K13" s="85">
        <f>'[8]Fin Summary'!K21</f>
        <v>0</v>
      </c>
      <c r="L13" s="85">
        <f>'[8]Fin Summary'!L21</f>
        <v>0</v>
      </c>
      <c r="M13" s="85">
        <f>'[8]Fin Summary'!M21</f>
        <v>8.25</v>
      </c>
      <c r="N13" s="85">
        <f>'[8]Fin Summary'!N21</f>
        <v>0</v>
      </c>
      <c r="O13" s="85">
        <f>'[8]Fin Summary'!O21</f>
        <v>0</v>
      </c>
      <c r="P13" s="85">
        <f t="shared" si="0"/>
        <v>247.5</v>
      </c>
    </row>
    <row r="14" spans="1:16" ht="12.75">
      <c r="A14" s="10">
        <v>39660</v>
      </c>
      <c r="B14" s="85">
        <f>'[8]Fin Summary'!B22</f>
        <v>0</v>
      </c>
      <c r="C14" s="85">
        <f>'[8]Fin Summary'!C22</f>
        <v>15</v>
      </c>
      <c r="D14" s="85">
        <f>'[8]Fin Summary'!D22</f>
        <v>45</v>
      </c>
      <c r="E14" s="85">
        <f>'[8]Fin Summary'!E22</f>
        <v>70.75</v>
      </c>
      <c r="F14" s="85">
        <f>'[8]Fin Summary'!F22</f>
        <v>72.5</v>
      </c>
      <c r="G14" s="85">
        <f>'[8]Fin Summary'!G22</f>
        <v>57.5</v>
      </c>
      <c r="H14" s="85">
        <f>'[8]Fin Summary'!H22</f>
        <v>5</v>
      </c>
      <c r="I14" s="85">
        <f>'[8]Fin Summary'!I22</f>
        <v>0</v>
      </c>
      <c r="J14" s="85">
        <f>'[8]Fin Summary'!J22</f>
        <v>0</v>
      </c>
      <c r="K14" s="85">
        <f>'[8]Fin Summary'!K22</f>
        <v>0</v>
      </c>
      <c r="L14" s="85">
        <f>'[8]Fin Summary'!L22</f>
        <v>0</v>
      </c>
      <c r="M14" s="85">
        <f>'[8]Fin Summary'!M22</f>
        <v>4.25</v>
      </c>
      <c r="N14" s="85">
        <f>'[8]Fin Summary'!N22</f>
        <v>0</v>
      </c>
      <c r="O14" s="85">
        <f>'[8]Fin Summary'!O22</f>
        <v>0</v>
      </c>
      <c r="P14" s="85">
        <f t="shared" si="0"/>
        <v>270</v>
      </c>
    </row>
    <row r="15" spans="1:16" ht="12.75">
      <c r="A15" s="10">
        <v>39675</v>
      </c>
      <c r="B15" s="85">
        <f>'[8]Fin Summary'!B23</f>
        <v>0</v>
      </c>
      <c r="C15" s="85">
        <f>'[8]Fin Summary'!C23</f>
        <v>12.25</v>
      </c>
      <c r="D15" s="85">
        <f>'[8]Fin Summary'!D23</f>
        <v>0</v>
      </c>
      <c r="E15" s="85">
        <f>'[8]Fin Summary'!E23</f>
        <v>74.75</v>
      </c>
      <c r="F15" s="85">
        <f>'[8]Fin Summary'!F23</f>
        <v>36.75</v>
      </c>
      <c r="G15" s="85">
        <f>'[8]Fin Summary'!G23</f>
        <v>85.25</v>
      </c>
      <c r="H15" s="85">
        <f>'[8]Fin Summary'!H23</f>
        <v>10.75</v>
      </c>
      <c r="I15" s="85">
        <f>'[8]Fin Summary'!I23</f>
        <v>0</v>
      </c>
      <c r="J15" s="85">
        <f>'[8]Fin Summary'!J23</f>
        <v>0</v>
      </c>
      <c r="K15" s="85">
        <f>'[8]Fin Summary'!K23</f>
        <v>0</v>
      </c>
      <c r="L15" s="85">
        <f>'[8]Fin Summary'!L23</f>
        <v>0</v>
      </c>
      <c r="M15" s="85">
        <f>'[8]Fin Summary'!M23</f>
        <v>27.75</v>
      </c>
      <c r="N15" s="85">
        <f>'[8]Fin Summary'!N23</f>
        <v>0</v>
      </c>
      <c r="O15" s="85">
        <f>'[8]Fin Summary'!O23</f>
        <v>0</v>
      </c>
      <c r="P15" s="85">
        <f t="shared" si="0"/>
        <v>247.5</v>
      </c>
    </row>
    <row r="16" spans="1:16" ht="12.75">
      <c r="A16" s="10">
        <v>39691</v>
      </c>
      <c r="B16" s="85">
        <f>'[8]Fin Summary'!B24</f>
        <v>0</v>
      </c>
      <c r="C16" s="85">
        <f>'[8]Fin Summary'!C24</f>
        <v>15.25</v>
      </c>
      <c r="D16" s="85">
        <f>'[8]Fin Summary'!D24</f>
        <v>0</v>
      </c>
      <c r="E16" s="85">
        <f>'[8]Fin Summary'!E24</f>
        <v>50.25</v>
      </c>
      <c r="F16" s="85">
        <f>'[8]Fin Summary'!F24</f>
        <v>53.25</v>
      </c>
      <c r="G16" s="85">
        <f>'[8]Fin Summary'!G24</f>
        <v>93</v>
      </c>
      <c r="H16" s="85">
        <f>'[8]Fin Summary'!H24</f>
        <v>0</v>
      </c>
      <c r="I16" s="85">
        <f>'[8]Fin Summary'!I24</f>
        <v>0</v>
      </c>
      <c r="J16" s="85">
        <f>'[8]Fin Summary'!J24</f>
        <v>0</v>
      </c>
      <c r="K16" s="85">
        <f>'[8]Fin Summary'!K24</f>
        <v>0</v>
      </c>
      <c r="L16" s="85">
        <f>'[8]Fin Summary'!L24</f>
        <v>0</v>
      </c>
      <c r="M16" s="85">
        <f>'[8]Fin Summary'!M24</f>
        <v>13.25</v>
      </c>
      <c r="N16" s="85">
        <f>'[8]Fin Summary'!N24</f>
        <v>0</v>
      </c>
      <c r="O16" s="85">
        <f>'[8]Fin Summary'!O24</f>
        <v>0</v>
      </c>
      <c r="P16" s="85">
        <f t="shared" si="0"/>
        <v>225</v>
      </c>
    </row>
    <row r="17" spans="1:16" ht="12.75">
      <c r="A17" s="10">
        <v>39706</v>
      </c>
      <c r="B17" s="85">
        <f>'[8]Fin Summary'!B25</f>
        <v>0</v>
      </c>
      <c r="C17" s="85">
        <f>'[8]Fin Summary'!C25</f>
        <v>12.25</v>
      </c>
      <c r="D17" s="85">
        <f>'[8]Fin Summary'!D25</f>
        <v>82.5</v>
      </c>
      <c r="E17" s="85">
        <f>'[8]Fin Summary'!E25</f>
        <v>60</v>
      </c>
      <c r="F17" s="85">
        <f>'[8]Fin Summary'!F25</f>
        <v>0</v>
      </c>
      <c r="G17" s="85">
        <f>'[8]Fin Summary'!G25</f>
        <v>67.5</v>
      </c>
      <c r="H17" s="85">
        <f>'[8]Fin Summary'!H25</f>
        <v>0</v>
      </c>
      <c r="I17" s="85">
        <f>'[8]Fin Summary'!I25</f>
        <v>25.25</v>
      </c>
      <c r="J17" s="85">
        <f>'[8]Fin Summary'!J25</f>
        <v>0</v>
      </c>
      <c r="K17" s="85">
        <f>'[8]Fin Summary'!K25</f>
        <v>0</v>
      </c>
      <c r="L17" s="85">
        <f>'[8]Fin Summary'!L25</f>
        <v>0</v>
      </c>
      <c r="M17" s="85">
        <f>'[8]Fin Summary'!M25</f>
        <v>0</v>
      </c>
      <c r="N17" s="85">
        <f>'[8]Fin Summary'!N25</f>
        <v>0</v>
      </c>
      <c r="O17" s="85">
        <f>'[8]Fin Summary'!O25</f>
        <v>0</v>
      </c>
      <c r="P17" s="85">
        <f t="shared" si="0"/>
        <v>247.5</v>
      </c>
    </row>
    <row r="18" spans="1:16" ht="12.75">
      <c r="A18" s="10">
        <v>39721</v>
      </c>
      <c r="B18" s="85">
        <f>'[8]Fin Summary'!B26</f>
        <v>0</v>
      </c>
      <c r="C18" s="85">
        <f>'[8]Fin Summary'!C26</f>
        <v>7.5</v>
      </c>
      <c r="D18" s="85">
        <f>'[8]Fin Summary'!D26</f>
        <v>30</v>
      </c>
      <c r="E18" s="85">
        <f>'[8]Fin Summary'!E26</f>
        <v>45</v>
      </c>
      <c r="F18" s="85">
        <f>'[8]Fin Summary'!F26</f>
        <v>12.25</v>
      </c>
      <c r="G18" s="85">
        <f>'[8]Fin Summary'!G26</f>
        <v>82.5</v>
      </c>
      <c r="H18" s="85">
        <f>'[8]Fin Summary'!H26</f>
        <v>47.5</v>
      </c>
      <c r="I18" s="85">
        <f>'[8]Fin Summary'!I26</f>
        <v>12.75</v>
      </c>
      <c r="J18" s="85">
        <f>'[8]Fin Summary'!J26</f>
        <v>0</v>
      </c>
      <c r="K18" s="85">
        <f>'[8]Fin Summary'!K26</f>
        <v>0</v>
      </c>
      <c r="L18" s="85">
        <f>'[8]Fin Summary'!L26</f>
        <v>0</v>
      </c>
      <c r="M18" s="85">
        <f>'[8]Fin Summary'!M26</f>
        <v>10</v>
      </c>
      <c r="N18" s="85">
        <f>'[8]Fin Summary'!N26</f>
        <v>0</v>
      </c>
      <c r="O18" s="85">
        <f>'[8]Fin Summary'!O26</f>
        <v>0</v>
      </c>
      <c r="P18" s="85">
        <f t="shared" si="0"/>
        <v>247.5</v>
      </c>
    </row>
    <row r="19" spans="1:16" ht="12.75">
      <c r="A19" s="10">
        <v>39736</v>
      </c>
      <c r="B19" s="85">
        <f>'[8]Fin Summary'!B27</f>
        <v>0</v>
      </c>
      <c r="C19" s="85">
        <f>'[8]Fin Summary'!C27</f>
        <v>17.75</v>
      </c>
      <c r="D19" s="85">
        <f>'[8]Fin Summary'!D27</f>
        <v>11</v>
      </c>
      <c r="E19" s="85">
        <f>'[8]Fin Summary'!E27</f>
        <v>84.75</v>
      </c>
      <c r="F19" s="85">
        <f>'[8]Fin Summary'!F27</f>
        <v>0</v>
      </c>
      <c r="G19" s="85">
        <f>'[8]Fin Summary'!G27</f>
        <v>100.75</v>
      </c>
      <c r="H19" s="85">
        <f>'[8]Fin Summary'!H27</f>
        <v>10.75</v>
      </c>
      <c r="I19" s="85">
        <f>'[8]Fin Summary'!I27</f>
        <v>22.5</v>
      </c>
      <c r="J19" s="85">
        <f>'[8]Fin Summary'!J27</f>
        <v>0</v>
      </c>
      <c r="K19" s="85">
        <f>'[8]Fin Summary'!K27</f>
        <v>0</v>
      </c>
      <c r="L19" s="85">
        <f>'[8]Fin Summary'!L27</f>
        <v>0</v>
      </c>
      <c r="M19" s="85">
        <f>'[8]Fin Summary'!M27</f>
        <v>0</v>
      </c>
      <c r="N19" s="85">
        <f>'[8]Fin Summary'!N27</f>
        <v>0</v>
      </c>
      <c r="O19" s="85">
        <f>'[8]Fin Summary'!O27</f>
        <v>0</v>
      </c>
      <c r="P19" s="85">
        <f t="shared" si="0"/>
        <v>247.5</v>
      </c>
    </row>
    <row r="20" spans="1:16" ht="12.75">
      <c r="A20" s="10">
        <v>39752</v>
      </c>
      <c r="B20" s="85">
        <f>'[8]Fin Summary'!B28</f>
        <v>0</v>
      </c>
      <c r="C20" s="85">
        <f>'[8]Fin Summary'!C28</f>
        <v>2.25</v>
      </c>
      <c r="D20" s="85">
        <f>'[8]Fin Summary'!D28</f>
        <v>52.5</v>
      </c>
      <c r="E20" s="85">
        <f>'[8]Fin Summary'!E28</f>
        <v>83.5</v>
      </c>
      <c r="F20" s="85">
        <f>'[8]Fin Summary'!F28</f>
        <v>1.75</v>
      </c>
      <c r="G20" s="85">
        <f>'[8]Fin Summary'!G28</f>
        <v>10.75</v>
      </c>
      <c r="H20" s="85">
        <f>'[8]Fin Summary'!H28</f>
        <v>0</v>
      </c>
      <c r="I20" s="85">
        <f>'[8]Fin Summary'!I28</f>
        <v>39.25</v>
      </c>
      <c r="J20" s="85">
        <f>'[8]Fin Summary'!J28</f>
        <v>0</v>
      </c>
      <c r="K20" s="85">
        <f>'[8]Fin Summary'!K28</f>
        <v>0</v>
      </c>
      <c r="L20" s="85">
        <f>'[8]Fin Summary'!L28</f>
        <v>0</v>
      </c>
      <c r="M20" s="85">
        <f>'[8]Fin Summary'!M28</f>
        <v>80</v>
      </c>
      <c r="N20" s="85">
        <f>'[8]Fin Summary'!N28</f>
        <v>0</v>
      </c>
      <c r="O20" s="85">
        <f>'[8]Fin Summary'!O28</f>
        <v>0</v>
      </c>
      <c r="P20" s="85">
        <f t="shared" si="0"/>
        <v>270</v>
      </c>
    </row>
    <row r="21" spans="1:16" ht="12.75">
      <c r="A21" s="10">
        <v>39767</v>
      </c>
      <c r="B21" s="85">
        <f>'[8]Fin Summary'!B29</f>
        <v>0</v>
      </c>
      <c r="C21" s="85">
        <f>'[8]Fin Summary'!C29</f>
        <v>7.25</v>
      </c>
      <c r="D21" s="85">
        <f>'[8]Fin Summary'!D29</f>
        <v>40.5</v>
      </c>
      <c r="E21" s="85">
        <f>'[8]Fin Summary'!E29</f>
        <v>43.5</v>
      </c>
      <c r="F21" s="85">
        <f>'[8]Fin Summary'!F29</f>
        <v>41.25</v>
      </c>
      <c r="G21" s="85">
        <f>'[8]Fin Summary'!G29</f>
        <v>39.75</v>
      </c>
      <c r="H21" s="85">
        <f>'[8]Fin Summary'!H29</f>
        <v>7.25</v>
      </c>
      <c r="I21" s="85">
        <f>'[8]Fin Summary'!I29</f>
        <v>3.5</v>
      </c>
      <c r="J21" s="85">
        <f>'[8]Fin Summary'!J29</f>
        <v>0</v>
      </c>
      <c r="K21" s="85">
        <f>'[8]Fin Summary'!K29</f>
        <v>0</v>
      </c>
      <c r="L21" s="85">
        <f>'[8]Fin Summary'!L29</f>
        <v>0</v>
      </c>
      <c r="M21" s="85">
        <f>'[8]Fin Summary'!M29</f>
        <v>42</v>
      </c>
      <c r="N21" s="85">
        <f>'[8]Fin Summary'!N29</f>
        <v>0</v>
      </c>
      <c r="O21" s="85">
        <f>'[8]Fin Summary'!O29</f>
        <v>0</v>
      </c>
      <c r="P21" s="85">
        <f t="shared" si="0"/>
        <v>225</v>
      </c>
    </row>
    <row r="22" spans="1:16" ht="12.75">
      <c r="A22" s="10">
        <v>39782</v>
      </c>
      <c r="B22" s="85">
        <f>'[8]Fin Summary'!B30</f>
        <v>0</v>
      </c>
      <c r="C22" s="85">
        <f>'[8]Fin Summary'!C30</f>
        <v>8.25</v>
      </c>
      <c r="D22" s="85">
        <f>'[8]Fin Summary'!D30</f>
        <v>30</v>
      </c>
      <c r="E22" s="85">
        <f>'[8]Fin Summary'!E30</f>
        <v>50.5</v>
      </c>
      <c r="F22" s="85">
        <f>'[8]Fin Summary'!F30</f>
        <v>32</v>
      </c>
      <c r="G22" s="85">
        <f>'[8]Fin Summary'!G30</f>
        <v>52.5</v>
      </c>
      <c r="H22" s="85">
        <f>'[8]Fin Summary'!H30</f>
        <v>51.75</v>
      </c>
      <c r="I22" s="85">
        <f>'[8]Fin Summary'!I30</f>
        <v>0</v>
      </c>
      <c r="J22" s="85">
        <f>'[8]Fin Summary'!J30</f>
        <v>0</v>
      </c>
      <c r="K22" s="85">
        <f>'[8]Fin Summary'!K30</f>
        <v>0</v>
      </c>
      <c r="L22" s="85">
        <f>'[8]Fin Summary'!L30</f>
        <v>0</v>
      </c>
      <c r="M22" s="85">
        <f>'[8]Fin Summary'!M30</f>
        <v>0</v>
      </c>
      <c r="N22" s="85">
        <f>'[8]Fin Summary'!N30</f>
        <v>0</v>
      </c>
      <c r="O22" s="85">
        <f>'[8]Fin Summary'!O30</f>
        <v>0</v>
      </c>
      <c r="P22" s="85">
        <f t="shared" si="0"/>
        <v>225</v>
      </c>
    </row>
    <row r="23" spans="1:16" ht="12.75">
      <c r="A23" s="10">
        <v>39797</v>
      </c>
      <c r="B23" s="85">
        <f>'[8]Fin Summary'!B31</f>
        <v>0</v>
      </c>
      <c r="C23" s="85">
        <f>'[8]Fin Summary'!C31</f>
        <v>6</v>
      </c>
      <c r="D23" s="85">
        <f>'[8]Fin Summary'!D31</f>
        <v>0</v>
      </c>
      <c r="E23" s="85">
        <f>'[8]Fin Summary'!E31</f>
        <v>27.5</v>
      </c>
      <c r="F23" s="85">
        <f>'[8]Fin Summary'!F31</f>
        <v>18</v>
      </c>
      <c r="G23" s="85">
        <f>'[8]Fin Summary'!G31</f>
        <v>69.75</v>
      </c>
      <c r="H23" s="85">
        <f>'[8]Fin Summary'!H31</f>
        <v>15</v>
      </c>
      <c r="I23" s="85">
        <f>'[8]Fin Summary'!I31</f>
        <v>0</v>
      </c>
      <c r="J23" s="85">
        <f>'[8]Fin Summary'!J31</f>
        <v>0</v>
      </c>
      <c r="K23" s="85">
        <f>'[8]Fin Summary'!K31</f>
        <v>0</v>
      </c>
      <c r="L23" s="85">
        <f>'[8]Fin Summary'!L31</f>
        <v>0</v>
      </c>
      <c r="M23" s="85">
        <f>'[8]Fin Summary'!M31</f>
        <v>111.25</v>
      </c>
      <c r="N23" s="85">
        <f>'[8]Fin Summary'!N31</f>
        <v>0</v>
      </c>
      <c r="O23" s="85">
        <f>'[8]Fin Summary'!O31</f>
        <v>0</v>
      </c>
      <c r="P23" s="85">
        <f t="shared" si="0"/>
        <v>247.5</v>
      </c>
    </row>
    <row r="24" spans="1:16" ht="12.75">
      <c r="A24" s="10">
        <v>39813</v>
      </c>
      <c r="B24" s="85">
        <f>'[8]Fin Summary'!B32</f>
        <v>0</v>
      </c>
      <c r="C24" s="85">
        <f>'[8]Fin Summary'!C32</f>
        <v>3.25</v>
      </c>
      <c r="D24" s="85">
        <f>'[8]Fin Summary'!D32</f>
        <v>50.5</v>
      </c>
      <c r="E24" s="85">
        <f>'[8]Fin Summary'!E32</f>
        <v>51.5</v>
      </c>
      <c r="F24" s="85">
        <f>'[8]Fin Summary'!F32</f>
        <v>43</v>
      </c>
      <c r="G24" s="85">
        <f>'[8]Fin Summary'!G32</f>
        <v>42</v>
      </c>
      <c r="H24" s="85">
        <f>'[8]Fin Summary'!H32</f>
        <v>59.25</v>
      </c>
      <c r="I24" s="85">
        <f>'[8]Fin Summary'!I32</f>
        <v>0</v>
      </c>
      <c r="J24" s="85">
        <f>'[8]Fin Summary'!J32</f>
        <v>0</v>
      </c>
      <c r="K24" s="85">
        <f>'[8]Fin Summary'!K32</f>
        <v>0</v>
      </c>
      <c r="L24" s="85">
        <f>'[8]Fin Summary'!L32</f>
        <v>0</v>
      </c>
      <c r="M24" s="85">
        <f>'[8]Fin Summary'!M32</f>
        <v>20.5</v>
      </c>
      <c r="N24" s="85">
        <f>'[8]Fin Summary'!N32</f>
        <v>0</v>
      </c>
      <c r="O24" s="85">
        <f>'[8]Fin Summary'!O32</f>
        <v>0</v>
      </c>
      <c r="P24" s="85">
        <f t="shared" si="0"/>
        <v>270</v>
      </c>
    </row>
    <row r="25" spans="1:16" ht="12.75">
      <c r="A25" s="10">
        <v>39828</v>
      </c>
      <c r="B25" s="85">
        <f>'[9]Fin Summary'!B9</f>
        <v>0</v>
      </c>
      <c r="C25" s="85">
        <f>'[9]Fin Summary'!C9</f>
        <v>10.25</v>
      </c>
      <c r="D25" s="85">
        <f>'[9]Fin Summary'!D9</f>
        <v>36.25</v>
      </c>
      <c r="E25" s="85">
        <f>'[9]Fin Summary'!E9</f>
        <v>88.25</v>
      </c>
      <c r="F25" s="85">
        <f>'[9]Fin Summary'!F9</f>
        <v>34.5</v>
      </c>
      <c r="G25" s="85">
        <f>'[9]Fin Summary'!G9</f>
        <v>11.75</v>
      </c>
      <c r="H25" s="85">
        <f>'[9]Fin Summary'!H9</f>
        <v>52.5</v>
      </c>
      <c r="I25" s="85">
        <f>'[9]Fin Summary'!I9</f>
        <v>11</v>
      </c>
      <c r="J25" s="85">
        <f>'[9]Fin Summary'!J9</f>
        <v>0</v>
      </c>
      <c r="K25" s="85">
        <f>'[9]Fin Summary'!K9</f>
        <v>0</v>
      </c>
      <c r="L25" s="85">
        <f>'[9]Fin Summary'!L9</f>
        <v>0</v>
      </c>
      <c r="M25" s="85">
        <f>'[9]Fin Summary'!M9</f>
        <v>3</v>
      </c>
      <c r="N25" s="85">
        <f>'[9]Fin Summary'!N9</f>
        <v>0</v>
      </c>
      <c r="O25" s="85">
        <f>'[9]Fin Summary'!O9</f>
        <v>0</v>
      </c>
      <c r="P25" s="85">
        <f t="shared" si="0"/>
        <v>247.5</v>
      </c>
    </row>
    <row r="26" spans="1:16" ht="12.75">
      <c r="A26" s="10">
        <v>39844</v>
      </c>
      <c r="B26" s="85">
        <f>'[9]Fin Summary'!B10</f>
        <v>0</v>
      </c>
      <c r="C26" s="85">
        <f>'[9]Fin Summary'!C10</f>
        <v>3.25</v>
      </c>
      <c r="D26" s="85">
        <f>'[9]Fin Summary'!D10</f>
        <v>33</v>
      </c>
      <c r="E26" s="85">
        <f>'[9]Fin Summary'!E10</f>
        <v>83.5</v>
      </c>
      <c r="F26" s="85">
        <f>'[9]Fin Summary'!F10</f>
        <v>10</v>
      </c>
      <c r="G26" s="85">
        <f>'[9]Fin Summary'!G10</f>
        <v>17.5</v>
      </c>
      <c r="H26" s="85">
        <f>'[9]Fin Summary'!H10</f>
        <v>76.25</v>
      </c>
      <c r="I26" s="85">
        <f>'[9]Fin Summary'!I10</f>
        <v>14</v>
      </c>
      <c r="J26" s="85">
        <f>'[9]Fin Summary'!J10</f>
        <v>0</v>
      </c>
      <c r="K26" s="85">
        <f>'[9]Fin Summary'!K10</f>
        <v>0</v>
      </c>
      <c r="L26" s="85">
        <f>'[9]Fin Summary'!L10</f>
        <v>0</v>
      </c>
      <c r="M26" s="85">
        <f>'[9]Fin Summary'!M10</f>
        <v>10</v>
      </c>
      <c r="N26" s="85">
        <f>'[9]Fin Summary'!N10</f>
        <v>0</v>
      </c>
      <c r="O26" s="85">
        <f>'[9]Fin Summary'!O10</f>
        <v>0</v>
      </c>
      <c r="P26" s="85">
        <f t="shared" si="0"/>
        <v>247.5</v>
      </c>
    </row>
    <row r="27" spans="1:16" ht="12.75">
      <c r="A27" s="10">
        <v>39859</v>
      </c>
      <c r="B27" s="85">
        <f>'[9]Fin Summary'!B11</f>
        <v>0</v>
      </c>
      <c r="C27" s="85">
        <f>'[9]Fin Summary'!C11</f>
        <v>9.5</v>
      </c>
      <c r="D27" s="85">
        <f>'[9]Fin Summary'!D11</f>
        <v>0</v>
      </c>
      <c r="E27" s="85">
        <f>'[9]Fin Summary'!E11</f>
        <v>88.5</v>
      </c>
      <c r="F27" s="85">
        <f>'[9]Fin Summary'!F11</f>
        <v>2</v>
      </c>
      <c r="G27" s="85">
        <f>'[9]Fin Summary'!G11</f>
        <v>7.5</v>
      </c>
      <c r="H27" s="85">
        <f>'[9]Fin Summary'!H11</f>
        <v>131.25</v>
      </c>
      <c r="I27" s="85">
        <f>'[9]Fin Summary'!I11</f>
        <v>0</v>
      </c>
      <c r="J27" s="85">
        <f>'[9]Fin Summary'!J11</f>
        <v>0</v>
      </c>
      <c r="K27" s="85">
        <f>'[9]Fin Summary'!K11</f>
        <v>0</v>
      </c>
      <c r="L27" s="85">
        <f>'[9]Fin Summary'!L11</f>
        <v>0</v>
      </c>
      <c r="M27" s="85">
        <f>'[9]Fin Summary'!M11</f>
        <v>5.25</v>
      </c>
      <c r="N27" s="85">
        <f>'[9]Fin Summary'!N11</f>
        <v>0</v>
      </c>
      <c r="O27" s="85">
        <f>'[9]Fin Summary'!O11</f>
        <v>0</v>
      </c>
      <c r="P27" s="85">
        <f t="shared" si="0"/>
        <v>244</v>
      </c>
    </row>
    <row r="28" spans="1:16" ht="12.75">
      <c r="A28" s="10">
        <v>39872</v>
      </c>
      <c r="B28" s="85">
        <f>'[9]Fin Summary'!B12</f>
        <v>0</v>
      </c>
      <c r="C28" s="85">
        <f>'[9]Fin Summary'!C12</f>
        <v>20</v>
      </c>
      <c r="D28" s="85">
        <f>'[9]Fin Summary'!D12</f>
        <v>22.5</v>
      </c>
      <c r="E28" s="85">
        <f>'[9]Fin Summary'!E12</f>
        <v>76</v>
      </c>
      <c r="F28" s="85">
        <f>'[9]Fin Summary'!F12</f>
        <v>8</v>
      </c>
      <c r="G28" s="85">
        <f>'[9]Fin Summary'!G12</f>
        <v>18</v>
      </c>
      <c r="H28" s="85">
        <f>'[9]Fin Summary'!H12</f>
        <v>81.5</v>
      </c>
      <c r="I28" s="85">
        <f>'[9]Fin Summary'!I12</f>
        <v>3.5</v>
      </c>
      <c r="J28" s="85">
        <f>'[9]Fin Summary'!J12</f>
        <v>0</v>
      </c>
      <c r="K28" s="85">
        <f>'[9]Fin Summary'!K12</f>
        <v>0</v>
      </c>
      <c r="L28" s="85">
        <f>'[9]Fin Summary'!L12</f>
        <v>0</v>
      </c>
      <c r="M28" s="85">
        <f>'[9]Fin Summary'!M12</f>
        <v>1</v>
      </c>
      <c r="N28" s="85">
        <f>'[9]Fin Summary'!N12</f>
        <v>0</v>
      </c>
      <c r="O28" s="85">
        <f>'[9]Fin Summary'!O12</f>
        <v>0</v>
      </c>
      <c r="P28" s="85">
        <f t="shared" si="0"/>
        <v>230.5</v>
      </c>
    </row>
    <row r="29" spans="1:16" ht="12.75">
      <c r="A29" s="10">
        <v>39887</v>
      </c>
      <c r="B29" s="85">
        <f>'[9]Fin Summary'!B13</f>
        <v>0</v>
      </c>
      <c r="C29" s="85">
        <f>'[9]Fin Summary'!C13</f>
        <v>18.5</v>
      </c>
      <c r="D29" s="85">
        <f>'[9]Fin Summary'!D13</f>
        <v>4</v>
      </c>
      <c r="E29" s="85">
        <f>'[9]Fin Summary'!E13</f>
        <v>45</v>
      </c>
      <c r="F29" s="85">
        <f>'[9]Fin Summary'!F13</f>
        <v>6</v>
      </c>
      <c r="G29" s="85">
        <f>'[9]Fin Summary'!G13</f>
        <v>24.5</v>
      </c>
      <c r="H29" s="85">
        <f>'[9]Fin Summary'!H13</f>
        <v>127</v>
      </c>
      <c r="I29" s="85">
        <f>'[9]Fin Summary'!I13</f>
        <v>0</v>
      </c>
      <c r="J29" s="85">
        <f>'[9]Fin Summary'!J13</f>
        <v>0</v>
      </c>
      <c r="K29" s="85">
        <f>'[9]Fin Summary'!K13</f>
        <v>0</v>
      </c>
      <c r="L29" s="85">
        <f>'[9]Fin Summary'!L13</f>
        <v>0</v>
      </c>
      <c r="M29" s="85">
        <f>'[9]Fin Summary'!M13</f>
        <v>0</v>
      </c>
      <c r="N29" s="85">
        <f>'[9]Fin Summary'!N13</f>
        <v>0</v>
      </c>
      <c r="O29" s="85">
        <f>'[9]Fin Summary'!O13</f>
        <v>0</v>
      </c>
      <c r="P29" s="85">
        <f t="shared" si="0"/>
        <v>225</v>
      </c>
    </row>
    <row r="30" spans="1:16" ht="12.75">
      <c r="A30" s="10">
        <v>39903</v>
      </c>
      <c r="B30" s="85">
        <f>'[9]Fin Summary'!B14</f>
        <v>0</v>
      </c>
      <c r="C30" s="85">
        <f>'[9]Fin Summary'!C14</f>
        <v>12.75</v>
      </c>
      <c r="D30" s="85">
        <f>'[9]Fin Summary'!D14</f>
        <v>34.5</v>
      </c>
      <c r="E30" s="85">
        <f>'[9]Fin Summary'!E14</f>
        <v>31.5</v>
      </c>
      <c r="F30" s="85">
        <f>'[9]Fin Summary'!F14</f>
        <v>7.5</v>
      </c>
      <c r="G30" s="85">
        <f>'[9]Fin Summary'!G14</f>
        <v>12</v>
      </c>
      <c r="H30" s="85">
        <f>'[9]Fin Summary'!H14</f>
        <v>165</v>
      </c>
      <c r="I30" s="85">
        <f>'[9]Fin Summary'!I14</f>
        <v>6.75</v>
      </c>
      <c r="J30" s="85">
        <f>'[9]Fin Summary'!J14</f>
        <v>0</v>
      </c>
      <c r="K30" s="85">
        <f>'[9]Fin Summary'!K14</f>
        <v>0</v>
      </c>
      <c r="L30" s="85">
        <f>'[9]Fin Summary'!L14</f>
        <v>0</v>
      </c>
      <c r="M30" s="85">
        <f>'[9]Fin Summary'!M14</f>
        <v>0</v>
      </c>
      <c r="N30" s="85">
        <f>'[9]Fin Summary'!N14</f>
        <v>0</v>
      </c>
      <c r="O30" s="85">
        <f>'[9]Fin Summary'!O14</f>
        <v>0</v>
      </c>
      <c r="P30" s="85">
        <f t="shared" si="0"/>
        <v>270</v>
      </c>
    </row>
    <row r="31" spans="1:16" ht="12.75">
      <c r="A31" s="10">
        <v>39918</v>
      </c>
      <c r="B31" s="85">
        <f>'[9]Fin Summary'!B15</f>
        <v>0</v>
      </c>
      <c r="C31" s="85">
        <f>'[9]Fin Summary'!C15</f>
        <v>3</v>
      </c>
      <c r="D31" s="85">
        <f>'[9]Fin Summary'!D15</f>
        <v>34.5</v>
      </c>
      <c r="E31" s="85">
        <f>'[9]Fin Summary'!E15</f>
        <v>39.25</v>
      </c>
      <c r="F31" s="85">
        <f>'[9]Fin Summary'!F15</f>
        <v>7.75</v>
      </c>
      <c r="G31" s="85">
        <f>'[9]Fin Summary'!G15</f>
        <v>14.25</v>
      </c>
      <c r="H31" s="85">
        <f>'[9]Fin Summary'!H15</f>
        <v>148.75</v>
      </c>
      <c r="I31" s="85">
        <f>'[9]Fin Summary'!I15</f>
        <v>0</v>
      </c>
      <c r="J31" s="85">
        <f>'[9]Fin Summary'!J15</f>
        <v>0</v>
      </c>
      <c r="K31" s="85">
        <f>'[9]Fin Summary'!K15</f>
        <v>0</v>
      </c>
      <c r="L31" s="85">
        <f>'[9]Fin Summary'!L15</f>
        <v>0</v>
      </c>
      <c r="M31" s="85">
        <f>'[9]Fin Summary'!M15</f>
        <v>0</v>
      </c>
      <c r="N31" s="85">
        <f>'[9]Fin Summary'!N15</f>
        <v>0</v>
      </c>
      <c r="O31" s="85">
        <f>'[9]Fin Summary'!O15</f>
        <v>0</v>
      </c>
      <c r="P31" s="85">
        <f t="shared" si="0"/>
        <v>247.5</v>
      </c>
    </row>
    <row r="32" spans="1:16" ht="12.75">
      <c r="A32" s="10">
        <v>39933</v>
      </c>
      <c r="B32" s="85">
        <f>'[9]Fin Summary'!B16</f>
        <v>0</v>
      </c>
      <c r="C32" s="85">
        <f>'[9]Fin Summary'!C16</f>
        <v>11.75</v>
      </c>
      <c r="D32" s="85">
        <f>'[9]Fin Summary'!D16</f>
        <v>20</v>
      </c>
      <c r="E32" s="85">
        <f>'[9]Fin Summary'!E16</f>
        <v>62</v>
      </c>
      <c r="F32" s="85">
        <f>'[9]Fin Summary'!F16</f>
        <v>9</v>
      </c>
      <c r="G32" s="85">
        <f>'[9]Fin Summary'!G16</f>
        <v>29.5</v>
      </c>
      <c r="H32" s="85">
        <f>'[9]Fin Summary'!H16</f>
        <v>81.75</v>
      </c>
      <c r="I32" s="85">
        <f>'[9]Fin Summary'!I16</f>
        <v>25</v>
      </c>
      <c r="J32" s="85">
        <f>'[9]Fin Summary'!J16</f>
        <v>0</v>
      </c>
      <c r="K32" s="85">
        <f>'[9]Fin Summary'!K16</f>
        <v>0</v>
      </c>
      <c r="L32" s="85">
        <f>'[9]Fin Summary'!L16</f>
        <v>0</v>
      </c>
      <c r="M32" s="85">
        <f>'[9]Fin Summary'!M16</f>
        <v>7.75</v>
      </c>
      <c r="N32" s="85">
        <f>'[9]Fin Summary'!N16</f>
        <v>0.75</v>
      </c>
      <c r="O32" s="85">
        <f>'[9]Fin Summary'!O16</f>
        <v>0</v>
      </c>
      <c r="P32" s="85">
        <f t="shared" si="0"/>
        <v>247.5</v>
      </c>
    </row>
    <row r="33" spans="3:16" ht="13.5" thickBot="1">
      <c r="C33" s="11">
        <f>SUM(C9:C32)</f>
        <v>224</v>
      </c>
      <c r="D33" s="11">
        <f aca="true" t="shared" si="1" ref="D33:O33">SUM(D9:D32)</f>
        <v>655.75</v>
      </c>
      <c r="E33" s="11">
        <f t="shared" si="1"/>
        <v>1533.75</v>
      </c>
      <c r="F33" s="11">
        <f t="shared" si="1"/>
        <v>571.25</v>
      </c>
      <c r="G33" s="11">
        <f t="shared" si="1"/>
        <v>1120</v>
      </c>
      <c r="H33" s="11">
        <f t="shared" si="1"/>
        <v>1271.75</v>
      </c>
      <c r="I33" s="11">
        <f t="shared" si="1"/>
        <v>165.25</v>
      </c>
      <c r="J33" s="11">
        <f t="shared" si="1"/>
        <v>0</v>
      </c>
      <c r="K33" s="11">
        <f t="shared" si="1"/>
        <v>0</v>
      </c>
      <c r="L33" s="11">
        <f t="shared" si="1"/>
        <v>0</v>
      </c>
      <c r="M33" s="11">
        <f>SUM(M9:M32)</f>
        <v>354.5</v>
      </c>
      <c r="N33" s="11">
        <f t="shared" si="1"/>
        <v>0.75</v>
      </c>
      <c r="O33" s="11">
        <f t="shared" si="1"/>
        <v>0</v>
      </c>
      <c r="P33" s="11">
        <f>SUM(P9:P32)</f>
        <v>5897</v>
      </c>
    </row>
    <row r="34" ht="13.5" thickTop="1"/>
    <row r="35" spans="3:16" ht="12.75">
      <c r="C35" s="14">
        <f>+C33/P33</f>
        <v>0.037985416313379684</v>
      </c>
      <c r="D35" s="14">
        <f>+D33/P33</f>
        <v>0.11120061047990504</v>
      </c>
      <c r="E35" s="14">
        <f>+E33/P33</f>
        <v>0.2600898762082415</v>
      </c>
      <c r="F35" s="14">
        <f>+F33/P33</f>
        <v>0.09687129048668815</v>
      </c>
      <c r="G35" s="14">
        <f>+G33/P33</f>
        <v>0.18992708156689841</v>
      </c>
      <c r="H35" s="14">
        <f>+H33/P33</f>
        <v>0.21566050534169917</v>
      </c>
      <c r="I35" s="14">
        <f>+I33/P33</f>
        <v>0.02802272341868747</v>
      </c>
      <c r="J35" s="14">
        <f>+J33/P33</f>
        <v>0</v>
      </c>
      <c r="K35" s="14">
        <f>+K33/P33</f>
        <v>0</v>
      </c>
      <c r="L35" s="14">
        <f>+L33/P33</f>
        <v>0</v>
      </c>
      <c r="M35" s="14">
        <f>+M33/P33</f>
        <v>0.06011531287095133</v>
      </c>
      <c r="N35" s="14">
        <f>+N33/P33</f>
        <v>0.00012718331354926232</v>
      </c>
      <c r="O35" s="14">
        <f>+O33/P33</f>
        <v>0</v>
      </c>
      <c r="P35" s="14">
        <f>SUM(C35:N35)</f>
        <v>0.9999999999999999</v>
      </c>
    </row>
    <row r="36" ht="12.75">
      <c r="O36" s="186"/>
    </row>
    <row r="37" spans="1:16" ht="13.5" thickBot="1">
      <c r="A37" t="s">
        <v>24</v>
      </c>
      <c r="F37" s="11">
        <f aca="true" t="shared" si="2" ref="F37:N37">+F33</f>
        <v>571.25</v>
      </c>
      <c r="G37" s="11">
        <f t="shared" si="2"/>
        <v>1120</v>
      </c>
      <c r="H37" s="11">
        <f t="shared" si="2"/>
        <v>1271.75</v>
      </c>
      <c r="I37" s="11">
        <f t="shared" si="2"/>
        <v>165.25</v>
      </c>
      <c r="J37" s="11">
        <f t="shared" si="2"/>
        <v>0</v>
      </c>
      <c r="K37" s="11">
        <f t="shared" si="2"/>
        <v>0</v>
      </c>
      <c r="L37" s="11">
        <f t="shared" si="2"/>
        <v>0</v>
      </c>
      <c r="M37" s="11">
        <f t="shared" si="2"/>
        <v>354.5</v>
      </c>
      <c r="N37" s="11">
        <f t="shared" si="2"/>
        <v>0.75</v>
      </c>
      <c r="O37" s="186"/>
      <c r="P37" s="11">
        <f>SUM(F37:N37)</f>
        <v>3483.5</v>
      </c>
    </row>
    <row r="38" ht="13.5" thickTop="1">
      <c r="O38" s="186"/>
    </row>
    <row r="39" spans="6:16" ht="12.75">
      <c r="F39" s="14">
        <f>+F37/$P$37</f>
        <v>0.16398736902540548</v>
      </c>
      <c r="G39" s="14">
        <f aca="true" t="shared" si="3" ref="G39:P39">+G37/$P$37</f>
        <v>0.32151571695134207</v>
      </c>
      <c r="H39" s="14">
        <f t="shared" si="3"/>
        <v>0.3650782259222047</v>
      </c>
      <c r="I39" s="14">
        <f t="shared" si="3"/>
        <v>0.04743792163054399</v>
      </c>
      <c r="J39" s="14">
        <f t="shared" si="3"/>
        <v>0</v>
      </c>
      <c r="K39" s="14">
        <f t="shared" si="3"/>
        <v>0</v>
      </c>
      <c r="L39" s="14">
        <f t="shared" si="3"/>
        <v>0</v>
      </c>
      <c r="M39" s="14">
        <f t="shared" si="3"/>
        <v>0.10176546576718817</v>
      </c>
      <c r="N39" s="14">
        <f t="shared" si="3"/>
        <v>0.00021530070331563083</v>
      </c>
      <c r="O39" s="187"/>
      <c r="P39" s="14">
        <f t="shared" si="3"/>
        <v>1</v>
      </c>
    </row>
    <row r="42" spans="5:16" ht="12.75">
      <c r="E42" s="1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6"/>
    </row>
  </sheetData>
  <sheetProtection/>
  <printOptions/>
  <pageMargins left="0.75" right="0.75" top="1" bottom="0.24" header="0.17" footer="0.17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E9" sqref="E9"/>
    </sheetView>
  </sheetViews>
  <sheetFormatPr defaultColWidth="9.140625" defaultRowHeight="12.75"/>
  <sheetData>
    <row r="1" ht="12.75">
      <c r="A1" t="s">
        <v>256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K33" sqref="K33"/>
    </sheetView>
  </sheetViews>
  <sheetFormatPr defaultColWidth="9.140625" defaultRowHeight="12.75"/>
  <cols>
    <col min="1" max="1" width="7.140625" style="277" customWidth="1"/>
    <col min="2" max="2" width="30.8515625" style="277" customWidth="1"/>
    <col min="3" max="3" width="13.7109375" style="277" customWidth="1"/>
    <col min="4" max="4" width="7.140625" style="277" customWidth="1"/>
    <col min="5" max="5" width="14.28125" style="277" customWidth="1"/>
    <col min="6" max="6" width="13.421875" style="277" customWidth="1"/>
    <col min="7" max="7" width="13.7109375" style="277" customWidth="1"/>
    <col min="8" max="8" width="12.28125" style="277" customWidth="1"/>
    <col min="9" max="9" width="12.57421875" style="277" customWidth="1"/>
    <col min="10" max="10" width="14.00390625" style="277" customWidth="1"/>
    <col min="11" max="11" width="12.00390625" style="277" customWidth="1"/>
    <col min="12" max="12" width="15.00390625" style="277" customWidth="1"/>
    <col min="13" max="13" width="13.8515625" style="277" customWidth="1"/>
    <col min="14" max="14" width="14.7109375" style="277" customWidth="1"/>
    <col min="15" max="16384" width="6.8515625" style="277" customWidth="1"/>
  </cols>
  <sheetData>
    <row r="1" spans="1:13" ht="48" customHeight="1">
      <c r="A1" s="275" t="s">
        <v>327</v>
      </c>
      <c r="B1" s="275" t="s">
        <v>328</v>
      </c>
      <c r="C1" s="275" t="s">
        <v>329</v>
      </c>
      <c r="D1" s="275" t="s">
        <v>330</v>
      </c>
      <c r="E1" s="276" t="s">
        <v>331</v>
      </c>
      <c r="F1" s="276" t="s">
        <v>332</v>
      </c>
      <c r="G1" s="276" t="s">
        <v>333</v>
      </c>
      <c r="H1" s="276" t="s">
        <v>334</v>
      </c>
      <c r="I1" s="276" t="s">
        <v>335</v>
      </c>
      <c r="J1" s="276" t="s">
        <v>336</v>
      </c>
      <c r="K1" s="276" t="s">
        <v>337</v>
      </c>
      <c r="L1" s="276" t="s">
        <v>338</v>
      </c>
      <c r="M1" s="276" t="s">
        <v>339</v>
      </c>
    </row>
    <row r="2" spans="1:13" ht="11.25">
      <c r="A2" s="277" t="s">
        <v>340</v>
      </c>
      <c r="B2" s="277" t="s">
        <v>341</v>
      </c>
      <c r="C2" s="277" t="s">
        <v>342</v>
      </c>
      <c r="D2" s="277" t="s">
        <v>343</v>
      </c>
      <c r="E2" s="278">
        <v>42639373</v>
      </c>
      <c r="F2" s="278">
        <v>0</v>
      </c>
      <c r="G2" s="278">
        <v>26448394</v>
      </c>
      <c r="H2" s="279">
        <v>310176307</v>
      </c>
      <c r="I2" s="279">
        <v>0</v>
      </c>
      <c r="J2" s="279">
        <v>310176307</v>
      </c>
      <c r="K2" s="280">
        <v>0</v>
      </c>
      <c r="L2" s="278">
        <v>0</v>
      </c>
      <c r="M2" s="278">
        <v>16190979</v>
      </c>
    </row>
    <row r="3" spans="1:13" ht="11.25">
      <c r="A3" s="277" t="s">
        <v>344</v>
      </c>
      <c r="B3" s="277" t="s">
        <v>345</v>
      </c>
      <c r="C3" s="277" t="s">
        <v>342</v>
      </c>
      <c r="D3" s="277" t="s">
        <v>343</v>
      </c>
      <c r="E3" s="278">
        <v>19899445</v>
      </c>
      <c r="F3" s="278">
        <v>102647</v>
      </c>
      <c r="G3" s="278">
        <v>4320945</v>
      </c>
      <c r="H3" s="279">
        <v>66167421</v>
      </c>
      <c r="I3" s="279">
        <v>858600</v>
      </c>
      <c r="J3" s="279">
        <v>65308821</v>
      </c>
      <c r="K3" s="280">
        <v>0.012976174483209797</v>
      </c>
      <c r="L3" s="278">
        <v>56194.919669001465</v>
      </c>
      <c r="M3" s="278">
        <f>SUM(E3-F3-G3)+L3</f>
        <v>15532047.919669002</v>
      </c>
    </row>
    <row r="4" spans="1:14" ht="11.25">
      <c r="A4" s="277" t="s">
        <v>346</v>
      </c>
      <c r="B4" s="277" t="s">
        <v>347</v>
      </c>
      <c r="C4" s="277" t="s">
        <v>348</v>
      </c>
      <c r="D4" s="277" t="s">
        <v>343</v>
      </c>
      <c r="E4" s="278">
        <v>1337664</v>
      </c>
      <c r="F4" s="278">
        <v>969260</v>
      </c>
      <c r="G4" s="278">
        <v>1141058</v>
      </c>
      <c r="H4" s="279">
        <v>2118652</v>
      </c>
      <c r="I4" s="279">
        <v>0</v>
      </c>
      <c r="J4" s="279">
        <v>2118652</v>
      </c>
      <c r="K4" s="280">
        <v>0</v>
      </c>
      <c r="L4" s="278">
        <v>0</v>
      </c>
      <c r="M4" s="278">
        <v>0</v>
      </c>
      <c r="N4" s="278" t="s">
        <v>349</v>
      </c>
    </row>
    <row r="5" spans="1:13" ht="11.25">
      <c r="A5" s="277" t="s">
        <v>350</v>
      </c>
      <c r="B5" s="277" t="s">
        <v>351</v>
      </c>
      <c r="C5" s="277" t="s">
        <v>342</v>
      </c>
      <c r="D5" s="277" t="s">
        <v>343</v>
      </c>
      <c r="E5" s="278">
        <v>20384455</v>
      </c>
      <c r="F5" s="278">
        <v>327399</v>
      </c>
      <c r="G5" s="278">
        <v>16404264</v>
      </c>
      <c r="H5" s="279">
        <v>39530183</v>
      </c>
      <c r="I5" s="279">
        <v>691860</v>
      </c>
      <c r="J5" s="279">
        <v>38838323</v>
      </c>
      <c r="K5" s="280">
        <v>0.017502069241622283</v>
      </c>
      <c r="L5" s="278">
        <v>287108.5643858517</v>
      </c>
      <c r="M5" s="278">
        <v>3939900.564385852</v>
      </c>
    </row>
    <row r="6" spans="1:13" ht="11.25">
      <c r="A6" s="277" t="s">
        <v>352</v>
      </c>
      <c r="B6" s="277" t="s">
        <v>353</v>
      </c>
      <c r="C6" s="277" t="s">
        <v>342</v>
      </c>
      <c r="D6" s="277" t="s">
        <v>343</v>
      </c>
      <c r="E6" s="278">
        <v>335052</v>
      </c>
      <c r="F6" s="278">
        <v>0</v>
      </c>
      <c r="G6" s="278">
        <v>148724</v>
      </c>
      <c r="H6" s="279">
        <v>408280</v>
      </c>
      <c r="I6" s="279">
        <v>0</v>
      </c>
      <c r="J6" s="279">
        <v>408280</v>
      </c>
      <c r="K6" s="280">
        <v>0</v>
      </c>
      <c r="L6" s="278">
        <v>0</v>
      </c>
      <c r="M6" s="278">
        <v>186328</v>
      </c>
    </row>
    <row r="7" spans="1:13" ht="11.25">
      <c r="A7" s="277" t="s">
        <v>354</v>
      </c>
      <c r="B7" s="277" t="s">
        <v>355</v>
      </c>
      <c r="C7" s="277" t="s">
        <v>342</v>
      </c>
      <c r="D7" s="277" t="s">
        <v>356</v>
      </c>
      <c r="E7" s="278">
        <v>168664</v>
      </c>
      <c r="F7" s="278">
        <v>0</v>
      </c>
      <c r="G7" s="278">
        <v>113590</v>
      </c>
      <c r="H7" s="279">
        <v>290226</v>
      </c>
      <c r="I7" s="279">
        <v>0</v>
      </c>
      <c r="J7" s="279">
        <v>290226</v>
      </c>
      <c r="K7" s="280">
        <v>0</v>
      </c>
      <c r="L7" s="278">
        <v>0</v>
      </c>
      <c r="M7" s="278">
        <v>55074</v>
      </c>
    </row>
    <row r="8" spans="1:13" ht="11.25">
      <c r="A8" s="277" t="s">
        <v>357</v>
      </c>
      <c r="B8" s="277" t="s">
        <v>358</v>
      </c>
      <c r="C8" s="277" t="s">
        <v>342</v>
      </c>
      <c r="D8" s="277" t="s">
        <v>343</v>
      </c>
      <c r="E8" s="278">
        <v>288292112</v>
      </c>
      <c r="F8" s="278">
        <v>127958088</v>
      </c>
      <c r="G8" s="278">
        <v>186099951</v>
      </c>
      <c r="H8" s="279">
        <v>2785705015</v>
      </c>
      <c r="I8" s="279">
        <v>1579873500</v>
      </c>
      <c r="J8" s="279">
        <v>1205831515</v>
      </c>
      <c r="K8" s="280">
        <v>0.5671359643224823</v>
      </c>
      <c r="L8" s="278">
        <v>105543975.1707517</v>
      </c>
      <c r="M8" s="278">
        <v>79778048.1707517</v>
      </c>
    </row>
    <row r="9" spans="1:14" ht="11.25">
      <c r="A9" s="277" t="s">
        <v>359</v>
      </c>
      <c r="B9" s="277" t="s">
        <v>360</v>
      </c>
      <c r="C9" s="277" t="s">
        <v>342</v>
      </c>
      <c r="D9" s="277" t="s">
        <v>343</v>
      </c>
      <c r="E9" s="278">
        <v>688016</v>
      </c>
      <c r="F9" s="278">
        <v>0</v>
      </c>
      <c r="G9" s="278">
        <v>0</v>
      </c>
      <c r="H9" s="279">
        <v>0</v>
      </c>
      <c r="I9" s="279">
        <v>0</v>
      </c>
      <c r="J9" s="279">
        <v>0</v>
      </c>
      <c r="K9" s="280">
        <v>0</v>
      </c>
      <c r="L9" s="278">
        <v>0</v>
      </c>
      <c r="M9" s="278">
        <v>0</v>
      </c>
      <c r="N9" s="277" t="s">
        <v>361</v>
      </c>
    </row>
    <row r="10" spans="1:14" ht="11.25">
      <c r="A10" s="277" t="s">
        <v>362</v>
      </c>
      <c r="B10" s="277" t="s">
        <v>363</v>
      </c>
      <c r="C10" s="277" t="s">
        <v>342</v>
      </c>
      <c r="D10" s="277" t="s">
        <v>343</v>
      </c>
      <c r="E10" s="278">
        <v>1416058</v>
      </c>
      <c r="F10" s="278">
        <v>0</v>
      </c>
      <c r="G10" s="278">
        <v>0</v>
      </c>
      <c r="H10" s="279">
        <v>0</v>
      </c>
      <c r="I10" s="279">
        <v>0</v>
      </c>
      <c r="J10" s="279">
        <v>0</v>
      </c>
      <c r="K10" s="280">
        <v>0</v>
      </c>
      <c r="L10" s="278">
        <v>0</v>
      </c>
      <c r="M10" s="278">
        <v>0</v>
      </c>
      <c r="N10" s="277" t="s">
        <v>361</v>
      </c>
    </row>
    <row r="11" spans="1:14" ht="11.25">
      <c r="A11" s="277" t="s">
        <v>364</v>
      </c>
      <c r="B11" s="277" t="s">
        <v>365</v>
      </c>
      <c r="C11" s="277" t="s">
        <v>342</v>
      </c>
      <c r="D11" s="277" t="s">
        <v>343</v>
      </c>
      <c r="E11" s="278">
        <v>1621933</v>
      </c>
      <c r="F11" s="278">
        <v>0</v>
      </c>
      <c r="G11" s="278">
        <v>0</v>
      </c>
      <c r="H11" s="279">
        <v>0</v>
      </c>
      <c r="I11" s="279">
        <v>0</v>
      </c>
      <c r="J11" s="279">
        <v>0</v>
      </c>
      <c r="K11" s="280">
        <v>0</v>
      </c>
      <c r="L11" s="278">
        <v>0</v>
      </c>
      <c r="M11" s="278">
        <v>0</v>
      </c>
      <c r="N11" s="277" t="s">
        <v>361</v>
      </c>
    </row>
    <row r="12" spans="1:13" ht="11.25">
      <c r="A12" s="277" t="s">
        <v>366</v>
      </c>
      <c r="B12" s="277" t="s">
        <v>367</v>
      </c>
      <c r="C12" s="277" t="s">
        <v>342</v>
      </c>
      <c r="D12" s="277" t="s">
        <v>356</v>
      </c>
      <c r="E12" s="278">
        <v>1506544</v>
      </c>
      <c r="F12" s="278">
        <v>0</v>
      </c>
      <c r="G12" s="278">
        <v>781239</v>
      </c>
      <c r="H12" s="279">
        <v>2599708</v>
      </c>
      <c r="I12" s="279">
        <v>0</v>
      </c>
      <c r="J12" s="279">
        <v>2599708</v>
      </c>
      <c r="K12" s="280">
        <v>0</v>
      </c>
      <c r="L12" s="278">
        <v>0</v>
      </c>
      <c r="M12" s="278">
        <v>725305</v>
      </c>
    </row>
    <row r="13" spans="1:13" ht="11.25">
      <c r="A13" s="277" t="s">
        <v>368</v>
      </c>
      <c r="B13" s="277" t="s">
        <v>369</v>
      </c>
      <c r="C13" s="277" t="s">
        <v>342</v>
      </c>
      <c r="D13" s="277" t="s">
        <v>343</v>
      </c>
      <c r="E13" s="278">
        <v>214513840</v>
      </c>
      <c r="F13" s="278">
        <v>15677</v>
      </c>
      <c r="G13" s="278">
        <v>150839665</v>
      </c>
      <c r="H13" s="279">
        <v>1334910000</v>
      </c>
      <c r="I13" s="279">
        <v>187000</v>
      </c>
      <c r="J13" s="279">
        <v>1334723000</v>
      </c>
      <c r="K13" s="280">
        <v>0.00014008435025582248</v>
      </c>
      <c r="L13" s="278">
        <v>21130.27646433093</v>
      </c>
      <c r="M13" s="278">
        <v>63679628.27646433</v>
      </c>
    </row>
    <row r="14" spans="1:13" ht="11.25">
      <c r="A14" s="277" t="s">
        <v>370</v>
      </c>
      <c r="B14" s="277" t="s">
        <v>371</v>
      </c>
      <c r="C14" s="277" t="s">
        <v>342</v>
      </c>
      <c r="D14" s="277" t="s">
        <v>356</v>
      </c>
      <c r="E14" s="278">
        <v>1025751</v>
      </c>
      <c r="F14" s="278">
        <v>0</v>
      </c>
      <c r="G14" s="278">
        <v>349320</v>
      </c>
      <c r="H14" s="279">
        <v>1469367</v>
      </c>
      <c r="I14" s="279">
        <v>0</v>
      </c>
      <c r="J14" s="279">
        <v>1469367</v>
      </c>
      <c r="K14" s="280">
        <v>0</v>
      </c>
      <c r="L14" s="278">
        <v>0</v>
      </c>
      <c r="M14" s="278">
        <v>676431</v>
      </c>
    </row>
    <row r="15" spans="1:13" ht="11.25">
      <c r="A15" s="277" t="s">
        <v>372</v>
      </c>
      <c r="B15" s="277" t="s">
        <v>373</v>
      </c>
      <c r="C15" s="277" t="s">
        <v>374</v>
      </c>
      <c r="D15" s="277" t="s">
        <v>356</v>
      </c>
      <c r="E15" s="278">
        <v>1117362</v>
      </c>
      <c r="F15" s="278">
        <v>0</v>
      </c>
      <c r="G15" s="278">
        <v>722827</v>
      </c>
      <c r="H15" s="279">
        <v>2810000</v>
      </c>
      <c r="I15" s="279">
        <v>0</v>
      </c>
      <c r="J15" s="279">
        <v>2810000</v>
      </c>
      <c r="K15" s="280">
        <v>0</v>
      </c>
      <c r="L15" s="278">
        <v>0</v>
      </c>
      <c r="M15" s="278">
        <v>394535</v>
      </c>
    </row>
    <row r="16" spans="1:13" ht="11.25">
      <c r="A16" s="277" t="s">
        <v>375</v>
      </c>
      <c r="B16" s="277" t="s">
        <v>376</v>
      </c>
      <c r="C16" s="277" t="s">
        <v>342</v>
      </c>
      <c r="D16" s="277" t="s">
        <v>343</v>
      </c>
      <c r="E16" s="278">
        <v>69688235</v>
      </c>
      <c r="F16" s="278">
        <v>0</v>
      </c>
      <c r="G16" s="278">
        <v>38637501</v>
      </c>
      <c r="H16" s="279">
        <v>523330000</v>
      </c>
      <c r="I16" s="279">
        <v>0</v>
      </c>
      <c r="J16" s="279">
        <v>523330000</v>
      </c>
      <c r="K16" s="280">
        <v>0</v>
      </c>
      <c r="L16" s="278">
        <v>0</v>
      </c>
      <c r="M16" s="278">
        <v>31050734</v>
      </c>
    </row>
    <row r="17" spans="1:13" ht="11.25">
      <c r="A17" s="277" t="s">
        <v>377</v>
      </c>
      <c r="B17" s="277" t="s">
        <v>378</v>
      </c>
      <c r="C17" s="277" t="s">
        <v>342</v>
      </c>
      <c r="D17" s="277" t="s">
        <v>356</v>
      </c>
      <c r="E17" s="278">
        <v>0</v>
      </c>
      <c r="F17" s="278">
        <v>0</v>
      </c>
      <c r="G17" s="278">
        <v>0</v>
      </c>
      <c r="H17" s="279">
        <v>0</v>
      </c>
      <c r="I17" s="279">
        <v>0</v>
      </c>
      <c r="J17" s="279">
        <v>0</v>
      </c>
      <c r="K17" s="280">
        <v>0</v>
      </c>
      <c r="L17" s="278">
        <v>0</v>
      </c>
      <c r="M17" s="278">
        <v>0</v>
      </c>
    </row>
    <row r="18" spans="1:13" ht="11.25">
      <c r="A18" s="277" t="s">
        <v>379</v>
      </c>
      <c r="B18" s="277" t="s">
        <v>380</v>
      </c>
      <c r="C18" s="277" t="s">
        <v>342</v>
      </c>
      <c r="D18" s="277" t="s">
        <v>343</v>
      </c>
      <c r="E18" s="278">
        <v>5479391</v>
      </c>
      <c r="F18" s="278">
        <v>0</v>
      </c>
      <c r="G18" s="278">
        <v>3578425.93</v>
      </c>
      <c r="H18" s="279">
        <v>10239621</v>
      </c>
      <c r="I18" s="279">
        <v>0</v>
      </c>
      <c r="J18" s="279">
        <v>10239621</v>
      </c>
      <c r="K18" s="280">
        <v>0</v>
      </c>
      <c r="L18" s="278">
        <v>0</v>
      </c>
      <c r="M18" s="278">
        <v>1900965.07</v>
      </c>
    </row>
    <row r="19" spans="1:13" ht="11.25">
      <c r="A19" s="277" t="s">
        <v>381</v>
      </c>
      <c r="B19" s="277" t="s">
        <v>382</v>
      </c>
      <c r="C19" s="277" t="s">
        <v>342</v>
      </c>
      <c r="D19" s="277" t="s">
        <v>343</v>
      </c>
      <c r="E19" s="278">
        <v>246707</v>
      </c>
      <c r="F19" s="278">
        <v>14893</v>
      </c>
      <c r="G19" s="278">
        <v>177386</v>
      </c>
      <c r="H19" s="279">
        <v>1597942</v>
      </c>
      <c r="I19" s="279">
        <v>102776</v>
      </c>
      <c r="J19" s="279">
        <v>1495166</v>
      </c>
      <c r="K19" s="280">
        <v>0.06431772867851274</v>
      </c>
      <c r="L19" s="278">
        <v>11409.064619366662</v>
      </c>
      <c r="M19" s="278">
        <v>65837.06461936666</v>
      </c>
    </row>
    <row r="20" spans="1:11" ht="11.25">
      <c r="A20" s="277" t="s">
        <v>383</v>
      </c>
      <c r="B20" s="277" t="s">
        <v>384</v>
      </c>
      <c r="C20" s="277" t="s">
        <v>342</v>
      </c>
      <c r="D20" s="277" t="s">
        <v>385</v>
      </c>
      <c r="E20" s="278">
        <v>0</v>
      </c>
      <c r="F20" s="278">
        <v>0</v>
      </c>
      <c r="H20" s="279">
        <v>0</v>
      </c>
      <c r="I20" s="279">
        <v>0</v>
      </c>
      <c r="J20" s="279">
        <v>0</v>
      </c>
      <c r="K20" s="280">
        <v>0</v>
      </c>
    </row>
    <row r="21" spans="1:13" ht="11.25">
      <c r="A21" s="277" t="s">
        <v>386</v>
      </c>
      <c r="B21" s="277" t="s">
        <v>387</v>
      </c>
      <c r="C21" s="277" t="s">
        <v>342</v>
      </c>
      <c r="D21" s="277" t="s">
        <v>343</v>
      </c>
      <c r="E21" s="278">
        <v>168650</v>
      </c>
      <c r="F21" s="278">
        <v>0</v>
      </c>
      <c r="G21" s="278">
        <v>0</v>
      </c>
      <c r="H21" s="279">
        <v>0</v>
      </c>
      <c r="I21" s="279">
        <v>0</v>
      </c>
      <c r="J21" s="279">
        <v>0</v>
      </c>
      <c r="K21" s="280">
        <v>0</v>
      </c>
      <c r="L21" s="278">
        <v>0</v>
      </c>
      <c r="M21" s="278">
        <v>168650</v>
      </c>
    </row>
    <row r="22" spans="1:13" ht="11.25">
      <c r="A22" s="277" t="s">
        <v>388</v>
      </c>
      <c r="B22" s="277" t="s">
        <v>389</v>
      </c>
      <c r="C22" s="277" t="s">
        <v>348</v>
      </c>
      <c r="D22" s="277" t="s">
        <v>385</v>
      </c>
      <c r="E22" s="278">
        <v>110620</v>
      </c>
      <c r="F22" s="278">
        <v>0</v>
      </c>
      <c r="G22" s="278">
        <v>74066</v>
      </c>
      <c r="H22" s="279">
        <v>85203</v>
      </c>
      <c r="I22" s="279">
        <v>0</v>
      </c>
      <c r="J22" s="279">
        <v>85203</v>
      </c>
      <c r="K22" s="280">
        <v>0</v>
      </c>
      <c r="L22" s="278">
        <v>0</v>
      </c>
      <c r="M22" s="278">
        <v>36554</v>
      </c>
    </row>
    <row r="23" spans="1:13" ht="11.25">
      <c r="A23" s="277" t="s">
        <v>390</v>
      </c>
      <c r="B23" s="277" t="s">
        <v>391</v>
      </c>
      <c r="C23" s="277" t="s">
        <v>342</v>
      </c>
      <c r="D23" s="277" t="s">
        <v>343</v>
      </c>
      <c r="E23" s="278">
        <v>96818878</v>
      </c>
      <c r="F23" s="278">
        <v>0</v>
      </c>
      <c r="G23" s="278">
        <v>62628951</v>
      </c>
      <c r="H23" s="279">
        <v>700923785</v>
      </c>
      <c r="I23" s="279">
        <v>0</v>
      </c>
      <c r="J23" s="279">
        <v>700923785</v>
      </c>
      <c r="K23" s="280">
        <v>0</v>
      </c>
      <c r="L23" s="278">
        <v>0</v>
      </c>
      <c r="M23" s="278">
        <v>34189927</v>
      </c>
    </row>
    <row r="24" spans="1:14" ht="11.25">
      <c r="A24" s="277" t="s">
        <v>392</v>
      </c>
      <c r="B24" s="277" t="s">
        <v>393</v>
      </c>
      <c r="C24" s="277" t="s">
        <v>394</v>
      </c>
      <c r="D24" s="277" t="s">
        <v>385</v>
      </c>
      <c r="E24" s="278">
        <v>304670.32</v>
      </c>
      <c r="F24" s="278">
        <v>0</v>
      </c>
      <c r="G24" s="278">
        <v>969875</v>
      </c>
      <c r="H24" s="279">
        <v>2540918</v>
      </c>
      <c r="I24" s="279">
        <v>0</v>
      </c>
      <c r="J24" s="279">
        <v>2540918</v>
      </c>
      <c r="K24" s="280">
        <v>0</v>
      </c>
      <c r="L24" s="278">
        <v>0</v>
      </c>
      <c r="M24" s="277">
        <v>0</v>
      </c>
      <c r="N24" s="278" t="s">
        <v>395</v>
      </c>
    </row>
    <row r="25" spans="1:13" ht="11.25">
      <c r="A25" s="277" t="s">
        <v>396</v>
      </c>
      <c r="B25" s="277" t="s">
        <v>397</v>
      </c>
      <c r="C25" s="277" t="s">
        <v>342</v>
      </c>
      <c r="D25" s="277" t="s">
        <v>385</v>
      </c>
      <c r="E25" s="278">
        <v>861410</v>
      </c>
      <c r="F25" s="278">
        <v>0</v>
      </c>
      <c r="G25" s="278">
        <v>418548</v>
      </c>
      <c r="H25" s="279">
        <v>956020</v>
      </c>
      <c r="I25" s="279">
        <v>0</v>
      </c>
      <c r="J25" s="279">
        <v>956020</v>
      </c>
      <c r="K25" s="280">
        <v>0</v>
      </c>
      <c r="L25" s="278">
        <v>0</v>
      </c>
      <c r="M25" s="278">
        <v>442862</v>
      </c>
    </row>
    <row r="26" spans="1:13" ht="11.25">
      <c r="A26" s="277" t="s">
        <v>398</v>
      </c>
      <c r="B26" s="277" t="s">
        <v>399</v>
      </c>
      <c r="C26" s="277" t="s">
        <v>342</v>
      </c>
      <c r="D26" s="277" t="s">
        <v>343</v>
      </c>
      <c r="E26" s="278">
        <v>136493607</v>
      </c>
      <c r="F26" s="278">
        <v>16137134</v>
      </c>
      <c r="G26" s="278">
        <v>50957095</v>
      </c>
      <c r="H26" s="279">
        <v>1333084652</v>
      </c>
      <c r="I26" s="279">
        <v>214333000</v>
      </c>
      <c r="J26" s="279">
        <v>1118751652</v>
      </c>
      <c r="K26" s="280">
        <v>0.16077973718956298</v>
      </c>
      <c r="L26" s="278">
        <v>8192868.342043593</v>
      </c>
      <c r="M26" s="278">
        <v>77592246.3420436</v>
      </c>
    </row>
    <row r="27" spans="1:13" ht="11.25">
      <c r="A27" s="277" t="s">
        <v>400</v>
      </c>
      <c r="B27" s="277" t="s">
        <v>401</v>
      </c>
      <c r="C27" s="277" t="s">
        <v>402</v>
      </c>
      <c r="D27" s="277" t="s">
        <v>356</v>
      </c>
      <c r="E27" s="278">
        <v>343934</v>
      </c>
      <c r="F27" s="278">
        <v>0</v>
      </c>
      <c r="G27" s="278">
        <v>217552</v>
      </c>
      <c r="H27" s="279">
        <v>539308</v>
      </c>
      <c r="I27" s="279">
        <v>0</v>
      </c>
      <c r="J27" s="279">
        <v>539308</v>
      </c>
      <c r="K27" s="280">
        <v>0</v>
      </c>
      <c r="L27" s="278">
        <v>0</v>
      </c>
      <c r="M27" s="278">
        <v>126382</v>
      </c>
    </row>
    <row r="28" spans="1:13" ht="11.25">
      <c r="A28" s="277" t="s">
        <v>403</v>
      </c>
      <c r="B28" s="277" t="s">
        <v>404</v>
      </c>
      <c r="C28" s="277" t="s">
        <v>394</v>
      </c>
      <c r="D28" s="277" t="s">
        <v>343</v>
      </c>
      <c r="E28" s="278">
        <v>2042694</v>
      </c>
      <c r="F28" s="278">
        <v>0</v>
      </c>
      <c r="G28" s="278">
        <v>0</v>
      </c>
      <c r="H28" s="279">
        <v>4254000</v>
      </c>
      <c r="I28" s="279">
        <v>0</v>
      </c>
      <c r="J28" s="279">
        <v>4254000</v>
      </c>
      <c r="K28" s="280">
        <v>0</v>
      </c>
      <c r="L28" s="278">
        <v>0</v>
      </c>
      <c r="M28" s="278">
        <v>2042694</v>
      </c>
    </row>
    <row r="29" spans="1:13" ht="11.25">
      <c r="A29" s="277" t="s">
        <v>405</v>
      </c>
      <c r="B29" s="277" t="s">
        <v>406</v>
      </c>
      <c r="C29" s="277" t="s">
        <v>342</v>
      </c>
      <c r="D29" s="277" t="s">
        <v>343</v>
      </c>
      <c r="E29" s="278">
        <v>756377</v>
      </c>
      <c r="F29" s="278">
        <v>0</v>
      </c>
      <c r="G29" s="278">
        <v>0</v>
      </c>
      <c r="H29" s="279">
        <v>1078517</v>
      </c>
      <c r="I29" s="279">
        <v>0</v>
      </c>
      <c r="J29" s="279">
        <v>1078517</v>
      </c>
      <c r="K29" s="280">
        <v>0</v>
      </c>
      <c r="L29" s="278">
        <v>0</v>
      </c>
      <c r="M29" s="278">
        <v>756377</v>
      </c>
    </row>
    <row r="30" spans="1:14" ht="11.25">
      <c r="A30" s="277" t="s">
        <v>407</v>
      </c>
      <c r="B30" s="277" t="s">
        <v>408</v>
      </c>
      <c r="C30" s="277" t="s">
        <v>342</v>
      </c>
      <c r="D30" s="277" t="s">
        <v>343</v>
      </c>
      <c r="E30" s="278">
        <v>170232</v>
      </c>
      <c r="F30" s="278">
        <v>0</v>
      </c>
      <c r="G30" s="278">
        <v>0</v>
      </c>
      <c r="H30" s="279">
        <v>243320</v>
      </c>
      <c r="I30" s="279">
        <v>0</v>
      </c>
      <c r="J30" s="279">
        <v>243320</v>
      </c>
      <c r="K30" s="280">
        <v>0</v>
      </c>
      <c r="L30" s="278">
        <v>0</v>
      </c>
      <c r="M30" s="278">
        <v>170232</v>
      </c>
      <c r="N30" s="277" t="s">
        <v>409</v>
      </c>
    </row>
    <row r="31" spans="1:13" ht="11.25">
      <c r="A31" s="281" t="s">
        <v>410</v>
      </c>
      <c r="B31" s="281" t="s">
        <v>411</v>
      </c>
      <c r="C31" s="281" t="s">
        <v>394</v>
      </c>
      <c r="D31" s="281" t="s">
        <v>343</v>
      </c>
      <c r="E31" s="282">
        <v>6557531</v>
      </c>
      <c r="F31" s="282">
        <v>0</v>
      </c>
      <c r="G31" s="282">
        <v>6009841</v>
      </c>
      <c r="H31" s="283">
        <v>41721461</v>
      </c>
      <c r="I31" s="283">
        <v>0</v>
      </c>
      <c r="J31" s="283">
        <v>41721461</v>
      </c>
      <c r="K31" s="284">
        <v>0</v>
      </c>
      <c r="L31" s="282">
        <v>0</v>
      </c>
      <c r="M31" s="282">
        <v>547690</v>
      </c>
    </row>
    <row r="32" spans="1:14" ht="11.25">
      <c r="A32" s="285" t="s">
        <v>412</v>
      </c>
      <c r="B32" s="285" t="s">
        <v>413</v>
      </c>
      <c r="C32" s="286"/>
      <c r="D32" s="286"/>
      <c r="E32" s="287">
        <v>915062216.32</v>
      </c>
      <c r="F32" s="287">
        <v>145525098</v>
      </c>
      <c r="G32" s="287">
        <v>551048895.93</v>
      </c>
      <c r="H32" s="286">
        <v>7166779906</v>
      </c>
      <c r="I32" s="286">
        <v>1796046736</v>
      </c>
      <c r="J32" s="286">
        <v>5370733170</v>
      </c>
      <c r="K32" s="287">
        <v>114112686.33793384</v>
      </c>
      <c r="L32" s="287">
        <v>332600908.7279339</v>
      </c>
      <c r="M32" s="286">
        <f>SUM(M2:M31)</f>
        <v>330249427.40793383</v>
      </c>
      <c r="N32" s="288"/>
    </row>
    <row r="33" spans="1:13" ht="12.7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  <row r="34" spans="1:2" ht="12.75" customHeight="1">
      <c r="A34" s="277" t="s">
        <v>414</v>
      </c>
      <c r="B34" s="277" t="s">
        <v>415</v>
      </c>
    </row>
    <row r="35" ht="12.75" customHeight="1">
      <c r="B35" s="277" t="s">
        <v>416</v>
      </c>
    </row>
    <row r="36" ht="12.75" customHeight="1">
      <c r="B36" s="277" t="s">
        <v>417</v>
      </c>
    </row>
    <row r="37" ht="12.75" customHeight="1">
      <c r="B37" s="277" t="s">
        <v>418</v>
      </c>
    </row>
  </sheetData>
  <printOptions/>
  <pageMargins left="0.75" right="0.75" top="1" bottom="1" header="0.5" footer="0.5"/>
  <pageSetup horizontalDpi="600" verticalDpi="600" orientation="landscape" paperSize="5" r:id="rId1"/>
  <headerFooter alignWithMargins="0">
    <oddFooter>&amp;RU-09-50(2)\P-09-9(2)
Appendix A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4">
      <selection activeCell="B36" sqref="B36"/>
    </sheetView>
  </sheetViews>
  <sheetFormatPr defaultColWidth="9.140625" defaultRowHeight="12.75"/>
  <cols>
    <col min="1" max="1" width="5.7109375" style="0" customWidth="1"/>
    <col min="2" max="2" width="16.57421875" style="20" bestFit="1" customWidth="1"/>
    <col min="3" max="3" width="34.57421875" style="259" bestFit="1" customWidth="1"/>
    <col min="4" max="4" width="12.57421875" style="164" customWidth="1"/>
    <col min="5" max="5" width="11.7109375" style="164" customWidth="1"/>
    <col min="6" max="6" width="11.7109375" style="164" bestFit="1" customWidth="1"/>
    <col min="7" max="7" width="11.421875" style="164" customWidth="1"/>
  </cols>
  <sheetData>
    <row r="1" ht="12.75">
      <c r="A1" t="s">
        <v>243</v>
      </c>
    </row>
    <row r="2" ht="12.75">
      <c r="A2" t="s">
        <v>424</v>
      </c>
    </row>
    <row r="3" ht="12.75">
      <c r="A3" t="s">
        <v>260</v>
      </c>
    </row>
    <row r="4" ht="12.75">
      <c r="A4" t="s">
        <v>261</v>
      </c>
    </row>
    <row r="5" spans="1:7" ht="12.75">
      <c r="A5" t="s">
        <v>262</v>
      </c>
      <c r="D5" s="20" t="s">
        <v>263</v>
      </c>
      <c r="E5" s="20" t="s">
        <v>264</v>
      </c>
      <c r="F5" s="20" t="s">
        <v>265</v>
      </c>
      <c r="G5" s="20" t="s">
        <v>266</v>
      </c>
    </row>
    <row r="6" spans="1:7" ht="12.75">
      <c r="A6" t="s">
        <v>267</v>
      </c>
      <c r="B6" s="20" t="s">
        <v>268</v>
      </c>
      <c r="C6" s="20" t="s">
        <v>269</v>
      </c>
      <c r="D6" s="20" t="s">
        <v>270</v>
      </c>
      <c r="E6" s="20" t="s">
        <v>271</v>
      </c>
      <c r="F6" s="20" t="s">
        <v>272</v>
      </c>
      <c r="G6" s="20" t="s">
        <v>273</v>
      </c>
    </row>
    <row r="8" spans="1:7" ht="12.75">
      <c r="A8" t="s">
        <v>178</v>
      </c>
      <c r="B8" s="259">
        <v>50000</v>
      </c>
      <c r="C8" s="259" t="s">
        <v>274</v>
      </c>
      <c r="D8" s="164" t="s">
        <v>241</v>
      </c>
      <c r="E8" s="164" t="s">
        <v>425</v>
      </c>
      <c r="F8" s="164">
        <v>0</v>
      </c>
      <c r="G8" s="164" t="s">
        <v>426</v>
      </c>
    </row>
    <row r="9" spans="1:7" ht="12.75">
      <c r="A9" t="s">
        <v>242</v>
      </c>
      <c r="B9" s="260">
        <v>50006</v>
      </c>
      <c r="C9" s="260" t="s">
        <v>275</v>
      </c>
      <c r="D9" s="164" t="s">
        <v>276</v>
      </c>
      <c r="E9" s="164" t="s">
        <v>425</v>
      </c>
      <c r="F9" s="164">
        <v>0</v>
      </c>
      <c r="G9" s="164" t="s">
        <v>426</v>
      </c>
    </row>
    <row r="10" spans="1:7" ht="12.75">
      <c r="A10" t="s">
        <v>179</v>
      </c>
      <c r="B10" s="261">
        <v>50007</v>
      </c>
      <c r="C10" s="261" t="s">
        <v>277</v>
      </c>
      <c r="D10" s="164" t="s">
        <v>278</v>
      </c>
      <c r="E10" s="164" t="s">
        <v>425</v>
      </c>
      <c r="F10" s="164">
        <v>0</v>
      </c>
      <c r="G10" s="164" t="s">
        <v>426</v>
      </c>
    </row>
    <row r="11" spans="1:7" ht="12.75">
      <c r="A11" t="s">
        <v>179</v>
      </c>
      <c r="B11" s="262">
        <v>54005</v>
      </c>
      <c r="C11" s="262" t="s">
        <v>279</v>
      </c>
      <c r="D11" s="164" t="s">
        <v>280</v>
      </c>
      <c r="E11" s="164" t="s">
        <v>425</v>
      </c>
      <c r="F11" s="164">
        <v>0</v>
      </c>
      <c r="G11" s="164" t="s">
        <v>426</v>
      </c>
    </row>
    <row r="12" spans="1:7" ht="12.75">
      <c r="A12" t="s">
        <v>178</v>
      </c>
      <c r="B12" s="263">
        <v>51060</v>
      </c>
      <c r="C12" s="263" t="s">
        <v>281</v>
      </c>
      <c r="D12" s="164">
        <v>0</v>
      </c>
      <c r="E12" s="164" t="s">
        <v>427</v>
      </c>
      <c r="F12" s="164">
        <v>0</v>
      </c>
      <c r="G12" s="164" t="s">
        <v>427</v>
      </c>
    </row>
    <row r="13" spans="1:7" ht="12.75">
      <c r="A13" t="s">
        <v>242</v>
      </c>
      <c r="B13" s="264">
        <v>55500</v>
      </c>
      <c r="C13" s="264" t="s">
        <v>282</v>
      </c>
      <c r="D13" s="164">
        <v>0</v>
      </c>
      <c r="E13" s="164" t="s">
        <v>427</v>
      </c>
      <c r="F13" s="164">
        <v>0</v>
      </c>
      <c r="G13" s="164" t="s">
        <v>427</v>
      </c>
    </row>
    <row r="14" spans="1:7" ht="12.75">
      <c r="A14" t="s">
        <v>242</v>
      </c>
      <c r="B14" s="263">
        <v>51066</v>
      </c>
      <c r="C14" s="263" t="s">
        <v>283</v>
      </c>
      <c r="D14" s="164" t="s">
        <v>284</v>
      </c>
      <c r="E14" s="164" t="s">
        <v>428</v>
      </c>
      <c r="F14" s="164">
        <v>0</v>
      </c>
      <c r="G14" s="164" t="s">
        <v>429</v>
      </c>
    </row>
    <row r="15" spans="1:7" ht="12.75">
      <c r="A15" t="s">
        <v>179</v>
      </c>
      <c r="B15" s="264">
        <v>51067</v>
      </c>
      <c r="C15" s="264" t="s">
        <v>285</v>
      </c>
      <c r="D15" s="164">
        <v>0</v>
      </c>
      <c r="E15" s="164" t="s">
        <v>318</v>
      </c>
      <c r="F15" s="164">
        <v>0</v>
      </c>
      <c r="G15" s="164">
        <v>5934997</v>
      </c>
    </row>
    <row r="16" spans="1:7" ht="12.75">
      <c r="A16" t="s">
        <v>179</v>
      </c>
      <c r="B16" s="264">
        <v>51068</v>
      </c>
      <c r="C16" s="264" t="s">
        <v>286</v>
      </c>
      <c r="D16" s="164">
        <v>0</v>
      </c>
      <c r="E16" s="164" t="s">
        <v>319</v>
      </c>
      <c r="F16" s="164">
        <v>0</v>
      </c>
      <c r="G16" s="164">
        <v>13693</v>
      </c>
    </row>
    <row r="17" spans="1:7" ht="12.75">
      <c r="A17" t="s">
        <v>179</v>
      </c>
      <c r="B17" s="264">
        <v>51069</v>
      </c>
      <c r="C17" s="264" t="s">
        <v>287</v>
      </c>
      <c r="D17" s="164">
        <v>0</v>
      </c>
      <c r="E17" s="164" t="s">
        <v>320</v>
      </c>
      <c r="F17" s="164">
        <v>0</v>
      </c>
      <c r="G17" s="164">
        <v>4873</v>
      </c>
    </row>
    <row r="18" spans="1:7" ht="12.75">
      <c r="A18" t="s">
        <v>179</v>
      </c>
      <c r="B18" s="264">
        <v>51072</v>
      </c>
      <c r="C18" s="264" t="s">
        <v>288</v>
      </c>
      <c r="D18" s="164">
        <v>0</v>
      </c>
      <c r="E18" s="164" t="s">
        <v>321</v>
      </c>
      <c r="F18" s="164">
        <v>0</v>
      </c>
      <c r="G18" s="164">
        <v>697</v>
      </c>
    </row>
    <row r="19" ht="12.75">
      <c r="A19" t="s">
        <v>243</v>
      </c>
    </row>
    <row r="20" ht="12.75">
      <c r="A20" t="s">
        <v>243</v>
      </c>
    </row>
    <row r="22" ht="12.75">
      <c r="A22" t="s">
        <v>243</v>
      </c>
    </row>
    <row r="23" ht="12.75">
      <c r="A23" t="s">
        <v>424</v>
      </c>
    </row>
    <row r="24" ht="12.75">
      <c r="A24" t="s">
        <v>289</v>
      </c>
    </row>
    <row r="25" ht="12.75">
      <c r="A25" t="s">
        <v>261</v>
      </c>
    </row>
    <row r="26" spans="1:7" ht="12.75">
      <c r="A26" t="s">
        <v>290</v>
      </c>
      <c r="D26" s="20" t="s">
        <v>291</v>
      </c>
      <c r="E26" s="20" t="s">
        <v>292</v>
      </c>
      <c r="F26" s="20" t="s">
        <v>293</v>
      </c>
      <c r="G26" s="20" t="s">
        <v>265</v>
      </c>
    </row>
    <row r="27" spans="1:7" ht="12.75">
      <c r="A27" t="s">
        <v>267</v>
      </c>
      <c r="B27" s="20" t="s">
        <v>294</v>
      </c>
      <c r="C27" s="259" t="s">
        <v>295</v>
      </c>
      <c r="D27" s="20" t="s">
        <v>270</v>
      </c>
      <c r="E27" s="20" t="s">
        <v>296</v>
      </c>
      <c r="F27" s="20" t="s">
        <v>297</v>
      </c>
      <c r="G27" s="20" t="s">
        <v>298</v>
      </c>
    </row>
    <row r="29" spans="1:7" ht="12.75">
      <c r="A29" t="s">
        <v>242</v>
      </c>
      <c r="B29" s="259">
        <v>70000</v>
      </c>
      <c r="C29" s="259" t="s">
        <v>299</v>
      </c>
      <c r="D29" s="164">
        <v>7960400</v>
      </c>
      <c r="E29" s="164">
        <v>5819528</v>
      </c>
      <c r="F29" s="164">
        <v>185277</v>
      </c>
      <c r="G29" s="164">
        <v>1955596</v>
      </c>
    </row>
    <row r="30" spans="1:7" ht="12.75">
      <c r="A30" t="s">
        <v>179</v>
      </c>
      <c r="B30" s="260">
        <v>70009</v>
      </c>
      <c r="C30" s="260" t="s">
        <v>300</v>
      </c>
      <c r="D30" s="164">
        <v>7960400</v>
      </c>
      <c r="E30" s="164">
        <v>5819528</v>
      </c>
      <c r="F30" s="164">
        <v>185277</v>
      </c>
      <c r="G30" s="164">
        <v>1955596</v>
      </c>
    </row>
    <row r="31" spans="1:7" ht="12.75">
      <c r="A31" t="s">
        <v>179</v>
      </c>
      <c r="B31" s="261">
        <v>70008</v>
      </c>
      <c r="C31" s="261" t="s">
        <v>301</v>
      </c>
      <c r="D31" s="164">
        <v>7960400</v>
      </c>
      <c r="E31" s="164">
        <v>5819528</v>
      </c>
      <c r="F31" s="164">
        <v>185277</v>
      </c>
      <c r="G31" s="164">
        <v>1955596</v>
      </c>
    </row>
    <row r="32" spans="1:7" ht="12.75">
      <c r="A32" t="s">
        <v>179</v>
      </c>
      <c r="B32" s="262">
        <v>70100</v>
      </c>
      <c r="C32" s="262" t="s">
        <v>302</v>
      </c>
      <c r="D32" s="164">
        <v>5378100</v>
      </c>
      <c r="E32" s="164">
        <v>4371300</v>
      </c>
      <c r="F32" s="164">
        <v>0</v>
      </c>
      <c r="G32" s="164">
        <v>1006800</v>
      </c>
    </row>
    <row r="33" spans="1:7" ht="12.75">
      <c r="A33" t="s">
        <v>179</v>
      </c>
      <c r="B33" s="263">
        <v>71000</v>
      </c>
      <c r="C33" s="263" t="s">
        <v>303</v>
      </c>
      <c r="D33" s="164">
        <v>5378100</v>
      </c>
      <c r="E33" s="164">
        <v>4371300</v>
      </c>
      <c r="F33" s="164">
        <v>0</v>
      </c>
      <c r="G33" s="164">
        <v>1006800</v>
      </c>
    </row>
    <row r="34" spans="1:7" ht="12.75">
      <c r="A34" t="s">
        <v>179</v>
      </c>
      <c r="B34" s="262">
        <v>70200</v>
      </c>
      <c r="C34" s="262" t="s">
        <v>304</v>
      </c>
      <c r="D34" s="164">
        <v>2582300</v>
      </c>
      <c r="E34" s="164">
        <v>1448228</v>
      </c>
      <c r="F34" s="164">
        <v>185277</v>
      </c>
      <c r="G34" s="164">
        <v>948795</v>
      </c>
    </row>
    <row r="35" spans="1:7" ht="12.75">
      <c r="A35" t="s">
        <v>179</v>
      </c>
      <c r="B35" s="263">
        <v>70201</v>
      </c>
      <c r="C35" s="263" t="s">
        <v>305</v>
      </c>
      <c r="D35" s="164">
        <v>2582300</v>
      </c>
      <c r="E35" s="164">
        <v>1448228</v>
      </c>
      <c r="F35" s="164">
        <v>185277</v>
      </c>
      <c r="G35" s="164">
        <v>948795</v>
      </c>
    </row>
    <row r="36" spans="1:7" ht="12.75">
      <c r="A36" t="s">
        <v>179</v>
      </c>
      <c r="B36" s="264">
        <v>72000</v>
      </c>
      <c r="C36" s="264" t="s">
        <v>306</v>
      </c>
      <c r="D36" s="164">
        <v>55000</v>
      </c>
      <c r="E36" s="164">
        <v>34271</v>
      </c>
      <c r="F36" s="164">
        <v>0</v>
      </c>
      <c r="G36" s="164">
        <v>20729</v>
      </c>
    </row>
    <row r="37" spans="1:7" ht="12.75">
      <c r="A37" t="s">
        <v>242</v>
      </c>
      <c r="B37" s="264">
        <v>73000</v>
      </c>
      <c r="C37" s="264" t="s">
        <v>307</v>
      </c>
      <c r="D37" s="164">
        <v>2457800</v>
      </c>
      <c r="E37" s="164">
        <v>1220134</v>
      </c>
      <c r="F37" s="164">
        <v>185277</v>
      </c>
      <c r="G37" s="164">
        <v>1052389</v>
      </c>
    </row>
    <row r="38" spans="1:7" ht="12.75">
      <c r="A38" t="s">
        <v>242</v>
      </c>
      <c r="B38" s="264">
        <v>74000</v>
      </c>
      <c r="C38" s="264" t="s">
        <v>308</v>
      </c>
      <c r="D38" s="164">
        <v>56900</v>
      </c>
      <c r="E38" s="164">
        <v>151504</v>
      </c>
      <c r="F38" s="164">
        <v>0</v>
      </c>
      <c r="G38" s="164" t="s">
        <v>430</v>
      </c>
    </row>
    <row r="39" spans="1:7" ht="12.75">
      <c r="A39" t="s">
        <v>242</v>
      </c>
      <c r="B39" s="264">
        <v>75000</v>
      </c>
      <c r="C39" s="264" t="s">
        <v>309</v>
      </c>
      <c r="D39" s="164">
        <v>12600</v>
      </c>
      <c r="E39" s="164">
        <v>42319</v>
      </c>
      <c r="F39" s="164">
        <v>0</v>
      </c>
      <c r="G39" s="164" t="s">
        <v>310</v>
      </c>
    </row>
    <row r="40" ht="12.75">
      <c r="A40" t="s">
        <v>243</v>
      </c>
    </row>
    <row r="41" ht="12.75">
      <c r="B41" s="259" t="s">
        <v>431</v>
      </c>
    </row>
    <row r="42" spans="2:5" ht="12.75">
      <c r="B42" s="259" t="s">
        <v>312</v>
      </c>
      <c r="E42" s="265">
        <v>-13693</v>
      </c>
    </row>
    <row r="43" spans="2:5" ht="12.75">
      <c r="B43" s="259" t="s">
        <v>313</v>
      </c>
      <c r="E43" s="265">
        <v>-4873</v>
      </c>
    </row>
    <row r="44" spans="2:5" ht="12.75">
      <c r="B44" s="259" t="s">
        <v>314</v>
      </c>
      <c r="E44" s="268">
        <v>-697</v>
      </c>
    </row>
    <row r="45" spans="2:6" ht="13.5" thickBot="1">
      <c r="B45" s="259" t="s">
        <v>432</v>
      </c>
      <c r="E45" s="265"/>
      <c r="F45" s="292">
        <f>SUM(E42:E44)</f>
        <v>-19263</v>
      </c>
    </row>
    <row r="46" ht="13.5" thickTop="1"/>
    <row r="47" spans="2:6" ht="12.75">
      <c r="B47" s="259" t="s">
        <v>433</v>
      </c>
      <c r="F47" s="265">
        <v>-5956411</v>
      </c>
    </row>
    <row r="48" spans="2:6" ht="12.75">
      <c r="B48" s="259" t="s">
        <v>434</v>
      </c>
      <c r="F48" s="268">
        <v>-764282</v>
      </c>
    </row>
    <row r="49" spans="2:6" ht="12.75">
      <c r="B49" s="259" t="s">
        <v>435</v>
      </c>
      <c r="F49" s="293">
        <f>SUM(F47:F48)</f>
        <v>-6720693</v>
      </c>
    </row>
    <row r="50" ht="12.75">
      <c r="B50" s="259"/>
    </row>
    <row r="51" ht="12.75">
      <c r="B51" s="259" t="s">
        <v>244</v>
      </c>
    </row>
    <row r="52" spans="2:5" ht="12.75">
      <c r="B52" s="259" t="s">
        <v>436</v>
      </c>
      <c r="E52" s="266">
        <v>5819528</v>
      </c>
    </row>
    <row r="53" spans="2:5" ht="12.75">
      <c r="B53" s="259" t="s">
        <v>437</v>
      </c>
      <c r="E53" s="294">
        <v>185277</v>
      </c>
    </row>
    <row r="54" spans="2:5" ht="12.75">
      <c r="B54" s="259" t="s">
        <v>438</v>
      </c>
      <c r="E54" s="267">
        <v>715888</v>
      </c>
    </row>
    <row r="55" spans="2:6" ht="13.5" thickBot="1">
      <c r="B55" s="259" t="s">
        <v>439</v>
      </c>
      <c r="F55" s="295">
        <f>E52+E53+E54</f>
        <v>6720693</v>
      </c>
    </row>
    <row r="56" spans="2:6" ht="13.5" thickTop="1">
      <c r="B56" s="259" t="s">
        <v>311</v>
      </c>
      <c r="F56" s="265">
        <f>F49+F55</f>
        <v>0</v>
      </c>
    </row>
  </sheetData>
  <printOptions/>
  <pageMargins left="0.75" right="0.75" top="0.41" bottom="0.75" header="0.26" footer="0.29"/>
  <pageSetup horizontalDpi="600" verticalDpi="600" orientation="portrait" scale="85" r:id="rId1"/>
  <headerFooter alignWithMargins="0">
    <oddFooter>&amp;ROrder U-09-50(2)/P-09-9(2)
Appendix 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0"/>
  <sheetViews>
    <sheetView workbookViewId="0" topLeftCell="A181">
      <selection activeCell="D203" sqref="D203"/>
    </sheetView>
  </sheetViews>
  <sheetFormatPr defaultColWidth="9.140625" defaultRowHeight="12.75"/>
  <cols>
    <col min="1" max="1" width="12.28125" style="146" bestFit="1" customWidth="1"/>
    <col min="2" max="2" width="19.28125" style="0" customWidth="1"/>
    <col min="3" max="3" width="32.57421875" style="0" bestFit="1" customWidth="1"/>
    <col min="4" max="4" width="21.28125" style="223" bestFit="1" customWidth="1"/>
    <col min="5" max="5" width="11.28125" style="0" bestFit="1" customWidth="1"/>
    <col min="6" max="6" width="10.28125" style="0" bestFit="1" customWidth="1"/>
    <col min="7" max="7" width="12.28125" style="0" bestFit="1" customWidth="1"/>
  </cols>
  <sheetData>
    <row r="1" spans="1:4" ht="15.75">
      <c r="A1" s="147"/>
      <c r="D1" s="211"/>
    </row>
    <row r="2" spans="1:4" ht="15.75">
      <c r="A2" s="210" t="s">
        <v>257</v>
      </c>
      <c r="C2" s="147"/>
      <c r="D2" s="211"/>
    </row>
    <row r="3" spans="1:4" ht="12.75">
      <c r="A3" s="148" t="s">
        <v>155</v>
      </c>
      <c r="B3" s="149" t="s">
        <v>156</v>
      </c>
      <c r="C3" s="149" t="s">
        <v>157</v>
      </c>
      <c r="D3" s="212" t="s">
        <v>158</v>
      </c>
    </row>
    <row r="4" spans="1:4" ht="12.75">
      <c r="A4" s="153">
        <v>39569</v>
      </c>
      <c r="B4" s="150"/>
      <c r="C4" s="150" t="s">
        <v>180</v>
      </c>
      <c r="D4" s="213">
        <v>4125</v>
      </c>
    </row>
    <row r="5" spans="1:4" ht="12.75">
      <c r="A5" s="153">
        <v>39617</v>
      </c>
      <c r="B5" s="150"/>
      <c r="C5" s="150" t="s">
        <v>21</v>
      </c>
      <c r="D5" s="213">
        <v>5625</v>
      </c>
    </row>
    <row r="6" spans="1:4" ht="12.75">
      <c r="A6" s="146">
        <v>39657</v>
      </c>
      <c r="C6" s="150" t="s">
        <v>21</v>
      </c>
      <c r="D6" s="211">
        <v>7110</v>
      </c>
    </row>
    <row r="7" spans="1:4" ht="12.75">
      <c r="A7" s="151">
        <v>39661</v>
      </c>
      <c r="B7" s="163"/>
      <c r="C7" s="150" t="s">
        <v>21</v>
      </c>
      <c r="D7" s="214">
        <v>3160</v>
      </c>
    </row>
    <row r="8" spans="1:4" s="154" customFormat="1" ht="12.75">
      <c r="A8" s="146">
        <v>39682</v>
      </c>
      <c r="B8"/>
      <c r="C8" s="150" t="s">
        <v>21</v>
      </c>
      <c r="D8" s="211">
        <v>38720.96</v>
      </c>
    </row>
    <row r="9" spans="1:4" ht="12.75">
      <c r="A9" s="153">
        <v>39725</v>
      </c>
      <c r="B9" s="150"/>
      <c r="C9" s="150" t="s">
        <v>21</v>
      </c>
      <c r="D9" s="213">
        <v>27087.5</v>
      </c>
    </row>
    <row r="10" spans="1:4" ht="12.75">
      <c r="A10" s="146">
        <v>39735</v>
      </c>
      <c r="B10" s="20"/>
      <c r="C10" s="150" t="s">
        <v>21</v>
      </c>
      <c r="D10" s="211">
        <v>2220.86</v>
      </c>
    </row>
    <row r="11" spans="1:4" ht="12" customHeight="1">
      <c r="A11" s="146">
        <v>39818</v>
      </c>
      <c r="C11" s="150" t="s">
        <v>21</v>
      </c>
      <c r="D11" s="211">
        <v>1220</v>
      </c>
    </row>
    <row r="12" spans="1:4" s="154" customFormat="1" ht="12.75">
      <c r="A12" s="153">
        <v>39827</v>
      </c>
      <c r="B12" s="150"/>
      <c r="C12" s="150" t="s">
        <v>21</v>
      </c>
      <c r="D12" s="213">
        <v>3872.92</v>
      </c>
    </row>
    <row r="13" spans="1:4" s="154" customFormat="1" ht="12.75">
      <c r="A13" s="153">
        <v>39856</v>
      </c>
      <c r="B13" s="150"/>
      <c r="C13" s="150" t="s">
        <v>21</v>
      </c>
      <c r="D13" s="213">
        <v>1547.5</v>
      </c>
    </row>
    <row r="14" spans="1:4" s="19" customFormat="1" ht="12.75">
      <c r="A14" s="153">
        <v>39873</v>
      </c>
      <c r="B14" s="150"/>
      <c r="C14" s="150" t="s">
        <v>21</v>
      </c>
      <c r="D14" s="215">
        <v>23031.25</v>
      </c>
    </row>
    <row r="15" spans="2:4" ht="12.75">
      <c r="B15" s="216"/>
      <c r="C15" s="166" t="s">
        <v>246</v>
      </c>
      <c r="D15" s="217">
        <f>D4</f>
        <v>4125</v>
      </c>
    </row>
    <row r="16" spans="1:4" s="19" customFormat="1" ht="12.75">
      <c r="A16" s="146"/>
      <c r="B16" s="216"/>
      <c r="C16" s="166" t="s">
        <v>245</v>
      </c>
      <c r="D16" s="217">
        <f>SUM(D5:D14)</f>
        <v>113595.98999999999</v>
      </c>
    </row>
    <row r="17" spans="1:4" s="222" customFormat="1" ht="16.5" thickBot="1">
      <c r="A17" s="218"/>
      <c r="B17" s="219"/>
      <c r="C17" s="220" t="s">
        <v>258</v>
      </c>
      <c r="D17" s="221">
        <f>SUM(D15:D16)</f>
        <v>117720.98999999999</v>
      </c>
    </row>
    <row r="18" ht="13.5" thickTop="1"/>
    <row r="19" spans="1:4" ht="15.75">
      <c r="A19" s="210" t="s">
        <v>259</v>
      </c>
      <c r="B19" s="210"/>
      <c r="C19" s="210"/>
      <c r="D19" s="224"/>
    </row>
    <row r="20" spans="1:4" ht="12.75">
      <c r="A20" s="148" t="s">
        <v>155</v>
      </c>
      <c r="B20" s="149" t="s">
        <v>156</v>
      </c>
      <c r="C20" s="149" t="s">
        <v>157</v>
      </c>
      <c r="D20" s="212" t="s">
        <v>158</v>
      </c>
    </row>
    <row r="21" spans="1:4" s="154" customFormat="1" ht="12.75">
      <c r="A21" s="153">
        <v>39550</v>
      </c>
      <c r="B21" s="150">
        <v>1922516</v>
      </c>
      <c r="C21" s="150" t="s">
        <v>161</v>
      </c>
      <c r="D21" s="213">
        <f>69.9</f>
        <v>69.9</v>
      </c>
    </row>
    <row r="22" spans="1:4" s="154" customFormat="1" ht="12.75">
      <c r="A22" s="153"/>
      <c r="B22" s="150"/>
      <c r="C22" s="20" t="s">
        <v>162</v>
      </c>
      <c r="D22" s="213"/>
    </row>
    <row r="23" spans="1:4" s="154" customFormat="1" ht="12.75">
      <c r="A23" s="153"/>
      <c r="B23" s="150"/>
      <c r="C23" s="20" t="s">
        <v>247</v>
      </c>
      <c r="D23" s="213"/>
    </row>
    <row r="24" spans="1:4" s="154" customFormat="1" ht="12.75">
      <c r="A24" s="153"/>
      <c r="B24" s="150"/>
      <c r="C24" s="150" t="s">
        <v>14</v>
      </c>
      <c r="D24" s="213"/>
    </row>
    <row r="25" spans="1:4" s="154" customFormat="1" ht="12.75">
      <c r="A25" s="153"/>
      <c r="B25" s="150"/>
      <c r="C25" s="150" t="s">
        <v>21</v>
      </c>
      <c r="D25" s="213"/>
    </row>
    <row r="26" spans="1:4" s="154" customFormat="1" ht="12.75">
      <c r="A26" s="153"/>
      <c r="B26" s="150"/>
      <c r="C26" s="150" t="s">
        <v>27</v>
      </c>
      <c r="D26" s="213">
        <v>3110.55</v>
      </c>
    </row>
    <row r="27" spans="1:4" s="154" customFormat="1" ht="12.75">
      <c r="A27" s="153"/>
      <c r="B27" s="150"/>
      <c r="C27" s="150" t="s">
        <v>15</v>
      </c>
      <c r="D27" s="213"/>
    </row>
    <row r="28" spans="1:4" s="154" customFormat="1" ht="12.75">
      <c r="A28" s="153"/>
      <c r="B28" s="150"/>
      <c r="C28" s="20" t="s">
        <v>17</v>
      </c>
      <c r="D28" s="213"/>
    </row>
    <row r="29" spans="1:4" s="154" customFormat="1" ht="12.75">
      <c r="A29" s="153"/>
      <c r="B29" s="150"/>
      <c r="C29" s="20" t="s">
        <v>163</v>
      </c>
      <c r="D29" s="213">
        <v>81.55</v>
      </c>
    </row>
    <row r="30" spans="1:4" s="154" customFormat="1" ht="12.75">
      <c r="A30" s="153"/>
      <c r="B30" s="150"/>
      <c r="C30" s="140" t="s">
        <v>180</v>
      </c>
      <c r="D30" s="213">
        <f>10694.7+349.5</f>
        <v>11044.2</v>
      </c>
    </row>
    <row r="31" spans="1:4" s="154" customFormat="1" ht="12.75">
      <c r="A31" s="153"/>
      <c r="B31" s="150"/>
      <c r="C31" s="166" t="s">
        <v>159</v>
      </c>
      <c r="D31" s="225">
        <f>SUM(D21:D30)</f>
        <v>14306.2</v>
      </c>
    </row>
    <row r="32" spans="1:4" s="168" customFormat="1" ht="12.75">
      <c r="A32" s="167"/>
      <c r="B32" s="140"/>
      <c r="C32" s="152"/>
      <c r="D32" s="226"/>
    </row>
    <row r="33" spans="1:4" ht="12.75">
      <c r="A33" s="153">
        <v>39573</v>
      </c>
      <c r="B33" s="150">
        <v>1922785</v>
      </c>
      <c r="C33" s="150" t="s">
        <v>161</v>
      </c>
      <c r="D33" s="213">
        <f>36.59+121.98</f>
        <v>158.57</v>
      </c>
    </row>
    <row r="34" spans="1:4" s="154" customFormat="1" ht="12.75">
      <c r="A34" s="153"/>
      <c r="B34" s="204"/>
      <c r="C34" s="20" t="s">
        <v>162</v>
      </c>
      <c r="D34" s="213"/>
    </row>
    <row r="35" spans="1:4" s="154" customFormat="1" ht="12.75">
      <c r="A35" s="153"/>
      <c r="B35" s="150"/>
      <c r="C35" s="20" t="s">
        <v>247</v>
      </c>
      <c r="D35" s="213"/>
    </row>
    <row r="36" spans="1:4" s="154" customFormat="1" ht="12.75">
      <c r="A36" s="153"/>
      <c r="B36" s="150"/>
      <c r="C36" s="150" t="s">
        <v>14</v>
      </c>
      <c r="D36" s="213">
        <v>1122.22</v>
      </c>
    </row>
    <row r="37" spans="1:4" s="154" customFormat="1" ht="12.75">
      <c r="A37" s="153"/>
      <c r="B37" s="150"/>
      <c r="C37" s="150" t="s">
        <v>21</v>
      </c>
      <c r="D37" s="213"/>
    </row>
    <row r="38" spans="1:4" s="154" customFormat="1" ht="12.75">
      <c r="A38" s="153"/>
      <c r="B38" s="150"/>
      <c r="C38" s="150" t="s">
        <v>27</v>
      </c>
      <c r="D38" s="213">
        <v>195.17</v>
      </c>
    </row>
    <row r="39" spans="1:4" s="154" customFormat="1" ht="12.75">
      <c r="A39" s="153"/>
      <c r="B39" s="150"/>
      <c r="C39" s="150" t="s">
        <v>15</v>
      </c>
      <c r="D39" s="213"/>
    </row>
    <row r="40" spans="1:4" s="154" customFormat="1" ht="12.75">
      <c r="A40" s="153"/>
      <c r="B40" s="150"/>
      <c r="C40" s="20" t="s">
        <v>17</v>
      </c>
      <c r="D40" s="213"/>
    </row>
    <row r="41" spans="1:4" s="154" customFormat="1" ht="12.75">
      <c r="A41" s="153"/>
      <c r="B41" s="150"/>
      <c r="C41" s="20" t="s">
        <v>163</v>
      </c>
      <c r="D41" s="213">
        <v>60.99</v>
      </c>
    </row>
    <row r="42" spans="1:4" s="154" customFormat="1" ht="12.75">
      <c r="A42" s="153"/>
      <c r="B42" s="150"/>
      <c r="C42" s="140" t="s">
        <v>180</v>
      </c>
      <c r="D42" s="213">
        <f>12136.99+2744.55+500.11</f>
        <v>15381.650000000001</v>
      </c>
    </row>
    <row r="43" spans="1:4" s="154" customFormat="1" ht="12.75">
      <c r="A43" s="153"/>
      <c r="B43" s="150"/>
      <c r="C43" s="166" t="s">
        <v>159</v>
      </c>
      <c r="D43" s="225">
        <f>SUM(D33:D42)</f>
        <v>16918.600000000002</v>
      </c>
    </row>
    <row r="44" spans="1:4" s="154" customFormat="1" ht="12.75">
      <c r="A44" s="153"/>
      <c r="B44" s="150"/>
      <c r="C44" s="152"/>
      <c r="D44" s="227"/>
    </row>
    <row r="45" spans="1:4" s="154" customFormat="1" ht="12.75">
      <c r="A45" s="153">
        <v>39619</v>
      </c>
      <c r="B45" s="150">
        <v>192307</v>
      </c>
      <c r="C45" s="150" t="s">
        <v>161</v>
      </c>
      <c r="D45" s="213"/>
    </row>
    <row r="46" spans="1:4" s="154" customFormat="1" ht="12.75">
      <c r="A46" s="153"/>
      <c r="B46" s="204"/>
      <c r="C46" s="20" t="s">
        <v>162</v>
      </c>
      <c r="D46" s="213"/>
    </row>
    <row r="47" spans="1:4" s="154" customFormat="1" ht="12.75">
      <c r="A47" s="153"/>
      <c r="B47" s="150"/>
      <c r="C47" s="20" t="s">
        <v>247</v>
      </c>
      <c r="D47" s="213"/>
    </row>
    <row r="48" spans="1:4" s="154" customFormat="1" ht="12.75">
      <c r="A48" s="153"/>
      <c r="B48" s="150"/>
      <c r="C48" s="150" t="s">
        <v>14</v>
      </c>
      <c r="D48" s="213"/>
    </row>
    <row r="49" spans="1:4" s="154" customFormat="1" ht="12.75">
      <c r="A49" s="153"/>
      <c r="B49" s="150"/>
      <c r="C49" s="150" t="s">
        <v>21</v>
      </c>
      <c r="D49" s="213"/>
    </row>
    <row r="50" spans="1:4" s="154" customFormat="1" ht="12.75">
      <c r="A50" s="153"/>
      <c r="B50" s="150"/>
      <c r="C50" s="150" t="s">
        <v>27</v>
      </c>
      <c r="D50" s="213"/>
    </row>
    <row r="51" spans="1:4" s="154" customFormat="1" ht="12.75">
      <c r="A51" s="153"/>
      <c r="B51" s="150"/>
      <c r="C51" s="150" t="s">
        <v>15</v>
      </c>
      <c r="D51" s="213"/>
    </row>
    <row r="52" spans="1:4" s="154" customFormat="1" ht="12.75">
      <c r="A52" s="153"/>
      <c r="B52" s="150"/>
      <c r="C52" s="20" t="s">
        <v>17</v>
      </c>
      <c r="D52" s="213"/>
    </row>
    <row r="53" spans="1:4" s="154" customFormat="1" ht="12.75">
      <c r="A53" s="153"/>
      <c r="B53" s="150"/>
      <c r="C53" s="20" t="s">
        <v>163</v>
      </c>
      <c r="D53" s="213">
        <v>597.7</v>
      </c>
    </row>
    <row r="54" spans="1:4" s="154" customFormat="1" ht="12.75">
      <c r="A54" s="153"/>
      <c r="B54" s="150"/>
      <c r="C54" s="140" t="s">
        <v>180</v>
      </c>
      <c r="D54" s="213"/>
    </row>
    <row r="55" spans="1:4" s="154" customFormat="1" ht="12.75">
      <c r="A55" s="153"/>
      <c r="B55" s="150"/>
      <c r="C55" s="166" t="s">
        <v>159</v>
      </c>
      <c r="D55" s="225">
        <f>SUM(D45:D54)</f>
        <v>597.7</v>
      </c>
    </row>
    <row r="56" spans="1:4" s="154" customFormat="1" ht="12.75">
      <c r="A56" s="153"/>
      <c r="B56" s="150"/>
      <c r="C56" s="152"/>
      <c r="D56" s="227"/>
    </row>
    <row r="57" spans="1:4" s="154" customFormat="1" ht="12.75">
      <c r="A57" s="153">
        <v>39644</v>
      </c>
      <c r="B57" s="150">
        <v>1923349</v>
      </c>
      <c r="C57" s="150" t="s">
        <v>161</v>
      </c>
      <c r="D57" s="213">
        <v>1366.18</v>
      </c>
    </row>
    <row r="58" spans="1:4" s="154" customFormat="1" ht="12.75">
      <c r="A58" s="153"/>
      <c r="B58" s="204"/>
      <c r="C58" s="20" t="s">
        <v>162</v>
      </c>
      <c r="D58" s="213"/>
    </row>
    <row r="59" spans="1:4" s="154" customFormat="1" ht="12.75">
      <c r="A59" s="153"/>
      <c r="B59" s="150"/>
      <c r="C59" s="20" t="s">
        <v>247</v>
      </c>
      <c r="D59" s="213"/>
    </row>
    <row r="60" spans="1:4" s="154" customFormat="1" ht="12.75">
      <c r="A60" s="153"/>
      <c r="B60" s="150"/>
      <c r="C60" s="150" t="s">
        <v>14</v>
      </c>
      <c r="D60" s="213"/>
    </row>
    <row r="61" spans="1:4" s="154" customFormat="1" ht="12.75">
      <c r="A61" s="153"/>
      <c r="B61" s="150"/>
      <c r="C61" s="150" t="s">
        <v>21</v>
      </c>
      <c r="D61" s="213"/>
    </row>
    <row r="62" spans="1:4" s="154" customFormat="1" ht="12.75">
      <c r="A62" s="153"/>
      <c r="B62" s="150"/>
      <c r="C62" s="150" t="s">
        <v>27</v>
      </c>
      <c r="D62" s="213"/>
    </row>
    <row r="63" spans="1:4" s="154" customFormat="1" ht="12.75">
      <c r="A63" s="153"/>
      <c r="B63" s="150"/>
      <c r="C63" s="150" t="s">
        <v>15</v>
      </c>
      <c r="D63" s="213"/>
    </row>
    <row r="64" spans="1:4" s="154" customFormat="1" ht="12.75">
      <c r="A64" s="153"/>
      <c r="B64" s="150"/>
      <c r="C64" s="20" t="s">
        <v>17</v>
      </c>
      <c r="D64" s="213"/>
    </row>
    <row r="65" spans="1:4" s="154" customFormat="1" ht="12.75">
      <c r="A65" s="153"/>
      <c r="B65" s="150"/>
      <c r="C65" s="20" t="s">
        <v>163</v>
      </c>
      <c r="D65" s="213"/>
    </row>
    <row r="66" spans="1:4" s="154" customFormat="1" ht="12.75">
      <c r="A66" s="153"/>
      <c r="B66" s="150"/>
      <c r="C66" s="140" t="s">
        <v>180</v>
      </c>
      <c r="D66" s="213"/>
    </row>
    <row r="67" spans="1:4" s="154" customFormat="1" ht="12.75">
      <c r="A67" s="153"/>
      <c r="B67" s="150"/>
      <c r="C67" s="166" t="s">
        <v>159</v>
      </c>
      <c r="D67" s="225">
        <f>SUM(D57:D66)</f>
        <v>1366.18</v>
      </c>
    </row>
    <row r="68" spans="1:4" s="154" customFormat="1" ht="12.75">
      <c r="A68" s="167"/>
      <c r="B68" s="140"/>
      <c r="C68" s="152"/>
      <c r="D68" s="227"/>
    </row>
    <row r="69" spans="1:4" s="168" customFormat="1" ht="12.75">
      <c r="A69" s="153">
        <v>39672</v>
      </c>
      <c r="B69" s="150">
        <v>100000013</v>
      </c>
      <c r="C69" s="150" t="s">
        <v>161</v>
      </c>
      <c r="D69" s="213">
        <f>11.65+11.65+93.2+7647.19+1631+7397.75</f>
        <v>16792.44</v>
      </c>
    </row>
    <row r="70" spans="1:4" s="154" customFormat="1" ht="12.75">
      <c r="A70" s="153"/>
      <c r="B70" s="204"/>
      <c r="C70" s="20" t="s">
        <v>162</v>
      </c>
      <c r="D70" s="213"/>
    </row>
    <row r="71" spans="1:4" s="154" customFormat="1" ht="12.75">
      <c r="A71" s="153"/>
      <c r="B71" s="150"/>
      <c r="C71" s="20" t="s">
        <v>247</v>
      </c>
      <c r="D71" s="213"/>
    </row>
    <row r="72" spans="1:4" s="154" customFormat="1" ht="12.75">
      <c r="A72" s="153"/>
      <c r="B72" s="150"/>
      <c r="C72" s="150" t="s">
        <v>14</v>
      </c>
      <c r="D72" s="213"/>
    </row>
    <row r="73" spans="1:4" s="154" customFormat="1" ht="12.75">
      <c r="A73" s="153"/>
      <c r="B73" s="150"/>
      <c r="C73" s="150" t="s">
        <v>21</v>
      </c>
      <c r="D73" s="213"/>
    </row>
    <row r="74" spans="1:4" s="154" customFormat="1" ht="12.75">
      <c r="A74" s="153"/>
      <c r="B74" s="150"/>
      <c r="C74" s="150" t="s">
        <v>27</v>
      </c>
      <c r="D74" s="213"/>
    </row>
    <row r="75" spans="1:4" s="154" customFormat="1" ht="12.75">
      <c r="A75" s="153"/>
      <c r="B75" s="150"/>
      <c r="C75" s="150" t="s">
        <v>15</v>
      </c>
      <c r="D75" s="213"/>
    </row>
    <row r="76" spans="1:4" s="154" customFormat="1" ht="12.75">
      <c r="A76" s="153"/>
      <c r="B76" s="150"/>
      <c r="C76" s="20" t="s">
        <v>17</v>
      </c>
      <c r="D76" s="213"/>
    </row>
    <row r="77" spans="1:4" s="154" customFormat="1" ht="12.75">
      <c r="A77" s="153"/>
      <c r="B77" s="150"/>
      <c r="C77" s="20" t="s">
        <v>163</v>
      </c>
      <c r="D77" s="213"/>
    </row>
    <row r="78" spans="1:4" s="154" customFormat="1" ht="12.75">
      <c r="A78" s="153"/>
      <c r="B78" s="150"/>
      <c r="C78" s="140" t="s">
        <v>180</v>
      </c>
      <c r="D78" s="213">
        <f>32400.42+675.7+267.95+4357.1</f>
        <v>37701.16999999999</v>
      </c>
    </row>
    <row r="79" spans="1:4" s="154" customFormat="1" ht="12.75">
      <c r="A79" s="153"/>
      <c r="B79" s="150"/>
      <c r="C79" s="166" t="s">
        <v>159</v>
      </c>
      <c r="D79" s="225">
        <f>SUM(D69:D78)</f>
        <v>54493.609999999986</v>
      </c>
    </row>
    <row r="80" spans="1:4" s="168" customFormat="1" ht="12.75">
      <c r="A80" s="167"/>
      <c r="B80" s="140"/>
      <c r="C80" s="152"/>
      <c r="D80" s="226"/>
    </row>
    <row r="81" spans="1:4" s="154" customFormat="1" ht="12.75">
      <c r="A81" s="153">
        <v>39691</v>
      </c>
      <c r="B81" s="150">
        <v>100000039</v>
      </c>
      <c r="C81" s="150" t="s">
        <v>161</v>
      </c>
      <c r="D81" s="213">
        <v>146.38</v>
      </c>
    </row>
    <row r="82" spans="1:4" s="154" customFormat="1" ht="12.75">
      <c r="A82" s="153"/>
      <c r="B82" s="204"/>
      <c r="C82" s="20" t="s">
        <v>162</v>
      </c>
      <c r="D82" s="213"/>
    </row>
    <row r="83" spans="1:4" s="154" customFormat="1" ht="12.75">
      <c r="A83" s="153"/>
      <c r="B83" s="150"/>
      <c r="C83" s="20" t="s">
        <v>247</v>
      </c>
      <c r="D83" s="213">
        <f>268.36+268.36+268.36</f>
        <v>805.08</v>
      </c>
    </row>
    <row r="84" spans="1:4" s="154" customFormat="1" ht="12.75">
      <c r="A84" s="153"/>
      <c r="B84" s="150"/>
      <c r="C84" s="150" t="s">
        <v>14</v>
      </c>
      <c r="D84" s="213">
        <f>5720.85+841.67</f>
        <v>6562.52</v>
      </c>
    </row>
    <row r="85" spans="1:4" s="154" customFormat="1" ht="12.75">
      <c r="A85" s="153"/>
      <c r="B85" s="150"/>
      <c r="C85" s="150" t="s">
        <v>21</v>
      </c>
      <c r="D85" s="213"/>
    </row>
    <row r="86" spans="1:4" s="154" customFormat="1" ht="12.75">
      <c r="A86" s="153"/>
      <c r="B86" s="150"/>
      <c r="C86" s="150" t="s">
        <v>27</v>
      </c>
      <c r="D86" s="213">
        <v>4109.39</v>
      </c>
    </row>
    <row r="87" spans="1:4" s="154" customFormat="1" ht="12.75">
      <c r="A87" s="153"/>
      <c r="B87" s="150"/>
      <c r="C87" s="150" t="s">
        <v>15</v>
      </c>
      <c r="D87" s="213"/>
    </row>
    <row r="88" spans="1:4" s="154" customFormat="1" ht="12.75">
      <c r="A88" s="153"/>
      <c r="B88" s="150"/>
      <c r="C88" s="20" t="s">
        <v>17</v>
      </c>
      <c r="D88" s="213"/>
    </row>
    <row r="89" spans="1:4" s="154" customFormat="1" ht="12.75">
      <c r="A89" s="153"/>
      <c r="B89" s="150"/>
      <c r="C89" s="20" t="s">
        <v>163</v>
      </c>
      <c r="D89" s="213"/>
    </row>
    <row r="90" spans="1:4" s="154" customFormat="1" ht="12.75">
      <c r="A90" s="153"/>
      <c r="B90" s="150"/>
      <c r="C90" s="140" t="s">
        <v>180</v>
      </c>
      <c r="D90" s="213">
        <f>29257.68+341.54+280.55+60.99+146.37</f>
        <v>30087.13</v>
      </c>
    </row>
    <row r="91" spans="1:4" s="154" customFormat="1" ht="12.75">
      <c r="A91" s="153"/>
      <c r="B91" s="150"/>
      <c r="C91" s="166" t="s">
        <v>159</v>
      </c>
      <c r="D91" s="225">
        <f>SUM(D81:D90)</f>
        <v>41710.5</v>
      </c>
    </row>
    <row r="92" spans="1:5" s="154" customFormat="1" ht="12.75">
      <c r="A92" s="153"/>
      <c r="B92" s="150"/>
      <c r="C92" s="152"/>
      <c r="D92" s="226"/>
      <c r="E92" s="169"/>
    </row>
    <row r="93" spans="1:4" s="154" customFormat="1" ht="12.75">
      <c r="A93" s="153">
        <v>39721</v>
      </c>
      <c r="B93" s="150">
        <v>100000078</v>
      </c>
      <c r="C93" s="150" t="s">
        <v>161</v>
      </c>
      <c r="D93" s="213">
        <f>353.74</f>
        <v>353.74</v>
      </c>
    </row>
    <row r="94" spans="1:4" s="154" customFormat="1" ht="12.75">
      <c r="A94" s="153"/>
      <c r="B94" s="204"/>
      <c r="C94" s="20" t="s">
        <v>162</v>
      </c>
      <c r="D94" s="213"/>
    </row>
    <row r="95" spans="1:4" s="154" customFormat="1" ht="12.75">
      <c r="A95" s="153"/>
      <c r="B95" s="150"/>
      <c r="C95" s="20" t="s">
        <v>247</v>
      </c>
      <c r="D95" s="213"/>
    </row>
    <row r="96" spans="1:4" s="154" customFormat="1" ht="12.75">
      <c r="A96" s="153"/>
      <c r="B96" s="150"/>
      <c r="C96" s="150" t="s">
        <v>14</v>
      </c>
      <c r="D96" s="213"/>
    </row>
    <row r="97" spans="1:4" s="154" customFormat="1" ht="12.75">
      <c r="A97" s="153"/>
      <c r="B97" s="150"/>
      <c r="C97" s="150" t="s">
        <v>21</v>
      </c>
      <c r="D97" s="213"/>
    </row>
    <row r="98" spans="1:4" s="154" customFormat="1" ht="12.75">
      <c r="A98" s="153"/>
      <c r="B98" s="150"/>
      <c r="C98" s="150" t="s">
        <v>27</v>
      </c>
      <c r="D98" s="213">
        <v>6330.76</v>
      </c>
    </row>
    <row r="99" spans="1:4" s="154" customFormat="1" ht="12.75">
      <c r="A99" s="153"/>
      <c r="B99" s="150"/>
      <c r="C99" s="150" t="s">
        <v>15</v>
      </c>
      <c r="D99" s="213"/>
    </row>
    <row r="100" spans="1:4" s="154" customFormat="1" ht="12.75">
      <c r="A100" s="153"/>
      <c r="B100" s="150"/>
      <c r="C100" s="20" t="s">
        <v>17</v>
      </c>
      <c r="D100" s="213"/>
    </row>
    <row r="101" spans="1:4" s="154" customFormat="1" ht="12.75">
      <c r="A101" s="153"/>
      <c r="B101" s="150"/>
      <c r="C101" s="20" t="s">
        <v>163</v>
      </c>
      <c r="D101" s="213"/>
    </row>
    <row r="102" spans="1:4" s="154" customFormat="1" ht="12.75">
      <c r="A102" s="153"/>
      <c r="B102" s="150"/>
      <c r="C102" s="140" t="s">
        <v>180</v>
      </c>
      <c r="D102" s="213">
        <f>402.53+26713.6+195.16</f>
        <v>27311.289999999997</v>
      </c>
    </row>
    <row r="103" spans="1:4" s="154" customFormat="1" ht="12.75">
      <c r="A103" s="153"/>
      <c r="B103" s="150"/>
      <c r="C103" s="166" t="s">
        <v>159</v>
      </c>
      <c r="D103" s="225">
        <f>SUM(D93:D102)</f>
        <v>33995.78999999999</v>
      </c>
    </row>
    <row r="104" spans="1:5" s="154" customFormat="1" ht="12.75">
      <c r="A104" s="167"/>
      <c r="B104" s="140"/>
      <c r="C104" s="152"/>
      <c r="D104" s="227"/>
      <c r="E104" s="169"/>
    </row>
    <row r="105" spans="1:4" s="168" customFormat="1" ht="12.75">
      <c r="A105" s="153">
        <v>39752</v>
      </c>
      <c r="B105" s="150">
        <v>100000149</v>
      </c>
      <c r="C105" s="150" t="s">
        <v>161</v>
      </c>
      <c r="D105" s="213"/>
    </row>
    <row r="106" spans="1:4" s="154" customFormat="1" ht="12.75">
      <c r="A106" s="153"/>
      <c r="B106" s="204"/>
      <c r="C106" s="20" t="s">
        <v>162</v>
      </c>
      <c r="D106" s="213"/>
    </row>
    <row r="107" spans="1:4" s="154" customFormat="1" ht="12.75">
      <c r="A107" s="153"/>
      <c r="B107" s="150"/>
      <c r="C107" s="20" t="s">
        <v>247</v>
      </c>
      <c r="D107" s="213"/>
    </row>
    <row r="108" spans="1:4" s="154" customFormat="1" ht="12.75">
      <c r="A108" s="153"/>
      <c r="B108" s="150"/>
      <c r="C108" s="150" t="s">
        <v>14</v>
      </c>
      <c r="D108" s="213"/>
    </row>
    <row r="109" spans="1:4" s="154" customFormat="1" ht="12.75">
      <c r="A109" s="153"/>
      <c r="B109" s="150"/>
      <c r="C109" s="150" t="s">
        <v>21</v>
      </c>
      <c r="D109" s="213"/>
    </row>
    <row r="110" spans="1:4" s="154" customFormat="1" ht="12.75">
      <c r="A110" s="153"/>
      <c r="B110" s="150"/>
      <c r="C110" s="150" t="s">
        <v>27</v>
      </c>
      <c r="D110" s="213">
        <v>3915.56</v>
      </c>
    </row>
    <row r="111" spans="1:4" s="154" customFormat="1" ht="12.75">
      <c r="A111" s="153"/>
      <c r="B111" s="150"/>
      <c r="C111" s="150" t="s">
        <v>15</v>
      </c>
      <c r="D111" s="213"/>
    </row>
    <row r="112" spans="1:4" s="154" customFormat="1" ht="12.75">
      <c r="A112" s="153"/>
      <c r="B112" s="150"/>
      <c r="C112" s="20" t="s">
        <v>17</v>
      </c>
      <c r="D112" s="213"/>
    </row>
    <row r="113" spans="1:4" s="154" customFormat="1" ht="12.75">
      <c r="A113" s="153"/>
      <c r="B113" s="150"/>
      <c r="C113" s="20" t="s">
        <v>163</v>
      </c>
      <c r="D113" s="213"/>
    </row>
    <row r="114" spans="1:4" s="154" customFormat="1" ht="12.75">
      <c r="A114" s="153"/>
      <c r="B114" s="150"/>
      <c r="C114" s="140" t="s">
        <v>180</v>
      </c>
      <c r="D114" s="213">
        <f>3854.57+463.52+23176.2</f>
        <v>27494.29</v>
      </c>
    </row>
    <row r="115" spans="1:4" s="154" customFormat="1" ht="12.75">
      <c r="A115" s="153"/>
      <c r="B115" s="150"/>
      <c r="C115" s="166" t="s">
        <v>159</v>
      </c>
      <c r="D115" s="225">
        <f>SUM(D105:D114)</f>
        <v>31409.850000000002</v>
      </c>
    </row>
    <row r="116" spans="1:5" s="154" customFormat="1" ht="12.75">
      <c r="A116" s="167"/>
      <c r="B116" s="140"/>
      <c r="C116" s="152"/>
      <c r="D116" s="227"/>
      <c r="E116" s="169"/>
    </row>
    <row r="117" spans="1:5" s="168" customFormat="1" ht="12.75">
      <c r="A117" s="153">
        <v>39782</v>
      </c>
      <c r="B117" s="150">
        <v>100000325</v>
      </c>
      <c r="C117" s="150" t="s">
        <v>161</v>
      </c>
      <c r="D117" s="213">
        <f>3842.38+951.46</f>
        <v>4793.84</v>
      </c>
      <c r="E117" s="205"/>
    </row>
    <row r="118" spans="1:4" s="154" customFormat="1" ht="12.75">
      <c r="A118" s="153"/>
      <c r="B118" s="204"/>
      <c r="C118" s="20" t="s">
        <v>162</v>
      </c>
      <c r="D118" s="213"/>
    </row>
    <row r="119" spans="1:4" s="154" customFormat="1" ht="12.75">
      <c r="A119" s="153"/>
      <c r="B119" s="150"/>
      <c r="C119" s="20" t="s">
        <v>247</v>
      </c>
      <c r="D119" s="213">
        <f>73.19+268.36+85.39</f>
        <v>426.94</v>
      </c>
    </row>
    <row r="120" spans="1:4" s="154" customFormat="1" ht="12.75">
      <c r="A120" s="153"/>
      <c r="B120" s="150"/>
      <c r="C120" s="150" t="s">
        <v>14</v>
      </c>
      <c r="D120" s="213"/>
    </row>
    <row r="121" spans="1:4" s="154" customFormat="1" ht="12.75">
      <c r="A121" s="153"/>
      <c r="B121" s="150"/>
      <c r="C121" s="150" t="s">
        <v>21</v>
      </c>
      <c r="D121" s="213">
        <v>634.3</v>
      </c>
    </row>
    <row r="122" spans="1:4" s="154" customFormat="1" ht="12.75">
      <c r="A122" s="153"/>
      <c r="B122" s="150"/>
      <c r="C122" s="150" t="s">
        <v>27</v>
      </c>
      <c r="D122" s="213">
        <f>182.97</f>
        <v>182.97</v>
      </c>
    </row>
    <row r="123" spans="1:4" s="154" customFormat="1" ht="12.75">
      <c r="A123" s="153"/>
      <c r="B123" s="150"/>
      <c r="C123" s="150" t="s">
        <v>15</v>
      </c>
      <c r="D123" s="213"/>
    </row>
    <row r="124" spans="1:4" s="154" customFormat="1" ht="12.75">
      <c r="A124" s="153"/>
      <c r="B124" s="150"/>
      <c r="C124" s="20" t="s">
        <v>17</v>
      </c>
      <c r="D124" s="213"/>
    </row>
    <row r="125" spans="1:4" s="154" customFormat="1" ht="12.75">
      <c r="A125" s="153"/>
      <c r="B125" s="150"/>
      <c r="C125" s="20" t="s">
        <v>163</v>
      </c>
      <c r="D125" s="213"/>
    </row>
    <row r="126" spans="1:4" s="154" customFormat="1" ht="12.75">
      <c r="A126" s="153"/>
      <c r="B126" s="150"/>
      <c r="C126" s="140" t="s">
        <v>180</v>
      </c>
      <c r="D126" s="213">
        <v>23822.71</v>
      </c>
    </row>
    <row r="127" spans="1:4" s="154" customFormat="1" ht="12.75">
      <c r="A127" s="153"/>
      <c r="B127" s="150"/>
      <c r="C127" s="166" t="s">
        <v>159</v>
      </c>
      <c r="D127" s="225">
        <f>SUM(D117:D126)</f>
        <v>29860.76</v>
      </c>
    </row>
    <row r="128" spans="1:5" s="154" customFormat="1" ht="12.75">
      <c r="A128" s="167"/>
      <c r="B128" s="140"/>
      <c r="C128" s="152"/>
      <c r="D128" s="227"/>
      <c r="E128" s="169"/>
    </row>
    <row r="129" spans="1:5" s="168" customFormat="1" ht="12.75">
      <c r="A129" s="153">
        <v>39813</v>
      </c>
      <c r="B129" s="150">
        <v>100000480</v>
      </c>
      <c r="C129" s="150" t="s">
        <v>161</v>
      </c>
      <c r="D129" s="213">
        <f>36.59+12295.57+439.12</f>
        <v>12771.28</v>
      </c>
      <c r="E129" s="205"/>
    </row>
    <row r="130" spans="1:4" s="154" customFormat="1" ht="12.75">
      <c r="A130" s="153"/>
      <c r="B130" s="204"/>
      <c r="C130" s="20" t="s">
        <v>162</v>
      </c>
      <c r="D130" s="213"/>
    </row>
    <row r="131" spans="1:4" s="154" customFormat="1" ht="12.75">
      <c r="A131" s="153"/>
      <c r="B131" s="150"/>
      <c r="C131" s="20" t="s">
        <v>247</v>
      </c>
      <c r="D131" s="213"/>
    </row>
    <row r="132" spans="1:4" s="154" customFormat="1" ht="12.75">
      <c r="A132" s="153"/>
      <c r="B132" s="150"/>
      <c r="C132" s="150" t="s">
        <v>14</v>
      </c>
      <c r="D132" s="213"/>
    </row>
    <row r="133" spans="1:4" s="154" customFormat="1" ht="12.75">
      <c r="A133" s="153"/>
      <c r="B133" s="150"/>
      <c r="C133" s="150" t="s">
        <v>21</v>
      </c>
      <c r="D133" s="213"/>
    </row>
    <row r="134" spans="1:4" s="154" customFormat="1" ht="12.75">
      <c r="A134" s="153"/>
      <c r="B134" s="150"/>
      <c r="C134" s="150" t="s">
        <v>27</v>
      </c>
      <c r="D134" s="213"/>
    </row>
    <row r="135" spans="1:4" s="154" customFormat="1" ht="12.75">
      <c r="A135" s="153"/>
      <c r="B135" s="150"/>
      <c r="C135" s="150" t="s">
        <v>15</v>
      </c>
      <c r="D135" s="213"/>
    </row>
    <row r="136" spans="1:4" s="154" customFormat="1" ht="12.75">
      <c r="A136" s="153"/>
      <c r="B136" s="150"/>
      <c r="C136" s="20" t="s">
        <v>17</v>
      </c>
      <c r="D136" s="213"/>
    </row>
    <row r="137" spans="1:4" s="154" customFormat="1" ht="12.75">
      <c r="A137" s="153"/>
      <c r="B137" s="150"/>
      <c r="C137" s="20" t="s">
        <v>163</v>
      </c>
      <c r="D137" s="213"/>
    </row>
    <row r="138" spans="1:4" s="154" customFormat="1" ht="12.75">
      <c r="A138" s="153"/>
      <c r="B138" s="150"/>
      <c r="C138" s="140" t="s">
        <v>180</v>
      </c>
      <c r="D138" s="213">
        <f>18760.54+207.37+2793.34+866.05</f>
        <v>22627.3</v>
      </c>
    </row>
    <row r="139" spans="1:4" s="154" customFormat="1" ht="12.75">
      <c r="A139" s="153"/>
      <c r="B139" s="150"/>
      <c r="C139" s="166" t="s">
        <v>159</v>
      </c>
      <c r="D139" s="225">
        <f>SUM(D129:D138)</f>
        <v>35398.58</v>
      </c>
    </row>
    <row r="140" spans="1:5" s="154" customFormat="1" ht="12.75">
      <c r="A140" s="167"/>
      <c r="B140" s="140"/>
      <c r="C140" s="152"/>
      <c r="D140" s="227"/>
      <c r="E140" s="169"/>
    </row>
    <row r="141" spans="1:4" s="154" customFormat="1" ht="12.75">
      <c r="A141" s="153">
        <v>39844</v>
      </c>
      <c r="B141" s="150">
        <v>100000640</v>
      </c>
      <c r="C141" s="150" t="s">
        <v>161</v>
      </c>
      <c r="D141" s="213">
        <f>8623.99+24.4</f>
        <v>8648.39</v>
      </c>
    </row>
    <row r="142" spans="1:4" s="154" customFormat="1" ht="12.75">
      <c r="A142" s="153"/>
      <c r="B142" s="150"/>
      <c r="C142" s="20" t="s">
        <v>162</v>
      </c>
      <c r="D142" s="213"/>
    </row>
    <row r="143" spans="1:4" s="154" customFormat="1" ht="12.75">
      <c r="A143" s="153"/>
      <c r="B143" s="150"/>
      <c r="C143" s="20" t="s">
        <v>247</v>
      </c>
      <c r="D143" s="213"/>
    </row>
    <row r="144" spans="1:4" s="154" customFormat="1" ht="12.75">
      <c r="A144" s="153"/>
      <c r="B144" s="150"/>
      <c r="C144" s="150" t="s">
        <v>14</v>
      </c>
      <c r="D144" s="213"/>
    </row>
    <row r="145" spans="1:4" s="154" customFormat="1" ht="12.75">
      <c r="A145" s="153"/>
      <c r="B145" s="150"/>
      <c r="C145" s="150" t="s">
        <v>21</v>
      </c>
      <c r="D145" s="213"/>
    </row>
    <row r="146" spans="1:4" s="154" customFormat="1" ht="12.75">
      <c r="A146" s="153"/>
      <c r="B146" s="150"/>
      <c r="C146" s="150" t="s">
        <v>27</v>
      </c>
      <c r="D146" s="213">
        <v>2354.21</v>
      </c>
    </row>
    <row r="147" spans="1:4" s="154" customFormat="1" ht="12.75">
      <c r="A147" s="153"/>
      <c r="B147" s="150"/>
      <c r="C147" s="150" t="s">
        <v>15</v>
      </c>
      <c r="D147" s="213">
        <v>243.96</v>
      </c>
    </row>
    <row r="148" spans="1:4" s="154" customFormat="1" ht="12.75">
      <c r="A148" s="153"/>
      <c r="B148" s="150"/>
      <c r="C148" s="20" t="s">
        <v>17</v>
      </c>
      <c r="D148" s="213"/>
    </row>
    <row r="149" spans="1:4" s="154" customFormat="1" ht="12.75">
      <c r="A149" s="153"/>
      <c r="B149" s="150"/>
      <c r="C149" s="20" t="s">
        <v>163</v>
      </c>
      <c r="D149" s="213"/>
    </row>
    <row r="150" spans="1:4" s="154" customFormat="1" ht="12.75">
      <c r="A150" s="153"/>
      <c r="B150" s="150"/>
      <c r="C150" s="140" t="s">
        <v>180</v>
      </c>
      <c r="D150" s="213">
        <f>12027.23+1683.33+1744.32+231.73</f>
        <v>15686.609999999999</v>
      </c>
    </row>
    <row r="151" spans="1:5" s="154" customFormat="1" ht="12.75">
      <c r="A151" s="153"/>
      <c r="B151" s="150"/>
      <c r="C151" s="166" t="s">
        <v>159</v>
      </c>
      <c r="D151" s="225">
        <f>SUM(D141:D150)</f>
        <v>26933.17</v>
      </c>
      <c r="E151" s="169"/>
    </row>
    <row r="152" spans="1:5" s="168" customFormat="1" ht="12.75">
      <c r="A152" s="167"/>
      <c r="B152" s="140"/>
      <c r="C152" s="152"/>
      <c r="D152" s="227"/>
      <c r="E152" s="205"/>
    </row>
    <row r="153" spans="1:4" s="154" customFormat="1" ht="12.75">
      <c r="A153" s="153">
        <v>39872</v>
      </c>
      <c r="B153" s="150">
        <v>100000859</v>
      </c>
      <c r="C153" s="150" t="s">
        <v>161</v>
      </c>
      <c r="D153" s="213">
        <f>524.51+780.68</f>
        <v>1305.19</v>
      </c>
    </row>
    <row r="154" spans="1:4" s="154" customFormat="1" ht="12.75">
      <c r="A154" s="153"/>
      <c r="B154" s="150"/>
      <c r="C154" s="20" t="s">
        <v>162</v>
      </c>
      <c r="D154" s="213"/>
    </row>
    <row r="155" spans="1:4" s="154" customFormat="1" ht="12.75">
      <c r="A155" s="153"/>
      <c r="B155" s="150"/>
      <c r="C155" s="20" t="s">
        <v>247</v>
      </c>
      <c r="D155" s="213"/>
    </row>
    <row r="156" spans="1:4" s="154" customFormat="1" ht="12.75">
      <c r="A156" s="153"/>
      <c r="B156" s="150"/>
      <c r="C156" s="150" t="s">
        <v>14</v>
      </c>
      <c r="D156" s="213"/>
    </row>
    <row r="157" spans="1:4" s="154" customFormat="1" ht="12.75">
      <c r="A157" s="153"/>
      <c r="B157" s="150"/>
      <c r="C157" s="150" t="s">
        <v>21</v>
      </c>
      <c r="D157" s="213"/>
    </row>
    <row r="158" spans="1:4" s="154" customFormat="1" ht="12.75">
      <c r="A158" s="153"/>
      <c r="B158" s="150"/>
      <c r="C158" s="150" t="s">
        <v>27</v>
      </c>
      <c r="D158" s="213">
        <v>280.55</v>
      </c>
    </row>
    <row r="159" spans="1:4" s="154" customFormat="1" ht="12.75">
      <c r="A159" s="153"/>
      <c r="B159" s="150"/>
      <c r="C159" s="150" t="s">
        <v>15</v>
      </c>
      <c r="D159" s="213">
        <v>792.86</v>
      </c>
    </row>
    <row r="160" spans="1:4" s="154" customFormat="1" ht="12.75">
      <c r="A160" s="153"/>
      <c r="B160" s="150"/>
      <c r="C160" s="20" t="s">
        <v>17</v>
      </c>
      <c r="D160" s="213"/>
    </row>
    <row r="161" spans="1:4" s="154" customFormat="1" ht="12.75">
      <c r="A161" s="153"/>
      <c r="B161" s="150"/>
      <c r="C161" s="20" t="s">
        <v>163</v>
      </c>
      <c r="D161" s="213"/>
    </row>
    <row r="162" spans="1:4" s="154" customFormat="1" ht="12.75">
      <c r="A162" s="153"/>
      <c r="B162" s="150"/>
      <c r="C162" s="140" t="s">
        <v>180</v>
      </c>
      <c r="D162" s="213">
        <f>1488.16+195.16+2903.12+14088.72</f>
        <v>18675.16</v>
      </c>
    </row>
    <row r="163" spans="1:6" s="154" customFormat="1" ht="12.75">
      <c r="A163" s="153"/>
      <c r="B163" s="150"/>
      <c r="C163" s="166" t="s">
        <v>159</v>
      </c>
      <c r="D163" s="225">
        <f>SUM(D153:D162)</f>
        <v>21053.76</v>
      </c>
      <c r="E163" s="169"/>
      <c r="F163" s="169"/>
    </row>
    <row r="164" spans="1:6" s="168" customFormat="1" ht="12.75">
      <c r="A164" s="167"/>
      <c r="B164" s="140"/>
      <c r="C164" s="152"/>
      <c r="D164" s="226"/>
      <c r="E164" s="205"/>
      <c r="F164" s="205"/>
    </row>
    <row r="165" spans="1:4" s="154" customFormat="1" ht="12.75">
      <c r="A165" s="153">
        <v>39903</v>
      </c>
      <c r="B165" s="150"/>
      <c r="C165" s="150" t="s">
        <v>161</v>
      </c>
      <c r="D165" s="254">
        <f>73.19+2390.8</f>
        <v>2463.9900000000002</v>
      </c>
    </row>
    <row r="166" spans="1:4" s="154" customFormat="1" ht="12.75">
      <c r="A166" s="153"/>
      <c r="B166" s="150"/>
      <c r="C166" s="20" t="s">
        <v>162</v>
      </c>
      <c r="D166" s="254"/>
    </row>
    <row r="167" spans="1:4" s="154" customFormat="1" ht="12.75">
      <c r="A167" s="153"/>
      <c r="B167" s="150"/>
      <c r="C167" s="20" t="s">
        <v>247</v>
      </c>
      <c r="D167" s="254"/>
    </row>
    <row r="168" spans="1:4" s="154" customFormat="1" ht="12.75">
      <c r="A168" s="153"/>
      <c r="B168" s="150"/>
      <c r="C168" s="150" t="s">
        <v>14</v>
      </c>
      <c r="D168" s="254"/>
    </row>
    <row r="169" spans="1:4" s="154" customFormat="1" ht="12.75">
      <c r="A169" s="153"/>
      <c r="B169" s="150"/>
      <c r="C169" s="150" t="s">
        <v>21</v>
      </c>
      <c r="D169" s="254"/>
    </row>
    <row r="170" spans="1:4" s="154" customFormat="1" ht="12.75">
      <c r="A170" s="153"/>
      <c r="B170" s="150"/>
      <c r="C170" s="150" t="s">
        <v>27</v>
      </c>
      <c r="D170" s="254">
        <v>231.75</v>
      </c>
    </row>
    <row r="171" spans="1:4" s="154" customFormat="1" ht="12.75">
      <c r="A171" s="153"/>
      <c r="B171" s="150"/>
      <c r="C171" s="150" t="s">
        <v>15</v>
      </c>
      <c r="D171" s="254">
        <f>2293.22+1841.9</f>
        <v>4135.12</v>
      </c>
    </row>
    <row r="172" spans="1:4" s="154" customFormat="1" ht="12.75">
      <c r="A172" s="153"/>
      <c r="B172" s="150"/>
      <c r="C172" s="20" t="s">
        <v>17</v>
      </c>
      <c r="D172" s="254"/>
    </row>
    <row r="173" spans="1:4" s="154" customFormat="1" ht="12.75">
      <c r="A173" s="153"/>
      <c r="B173" s="150"/>
      <c r="C173" s="20" t="s">
        <v>163</v>
      </c>
      <c r="D173" s="254"/>
    </row>
    <row r="174" spans="1:4" s="154" customFormat="1" ht="12.75">
      <c r="A174" s="153"/>
      <c r="B174" s="150"/>
      <c r="C174" s="140" t="s">
        <v>180</v>
      </c>
      <c r="D174" s="254">
        <f>24030.05+60.99+841.66+3574.02</f>
        <v>28506.72</v>
      </c>
    </row>
    <row r="175" spans="1:5" s="154" customFormat="1" ht="12.75">
      <c r="A175" s="153"/>
      <c r="B175" s="150"/>
      <c r="C175" s="166" t="s">
        <v>159</v>
      </c>
      <c r="D175" s="255">
        <f>SUM(D165:D174)</f>
        <v>35337.58</v>
      </c>
      <c r="E175" s="169"/>
    </row>
    <row r="176" spans="1:5" s="154" customFormat="1" ht="12.75">
      <c r="A176" s="153"/>
      <c r="B176" s="150"/>
      <c r="C176" s="152"/>
      <c r="D176" s="256"/>
      <c r="E176" s="169"/>
    </row>
    <row r="177" spans="1:5" s="154" customFormat="1" ht="12.75">
      <c r="A177" s="153">
        <v>39951</v>
      </c>
      <c r="B177" s="150"/>
      <c r="C177" s="150" t="s">
        <v>161</v>
      </c>
      <c r="D177" s="257">
        <v>499.48</v>
      </c>
      <c r="E177" s="169"/>
    </row>
    <row r="178" spans="1:5" s="154" customFormat="1" ht="12.75">
      <c r="A178" s="153"/>
      <c r="B178" s="150"/>
      <c r="C178" s="166" t="s">
        <v>159</v>
      </c>
      <c r="D178" s="255">
        <f>SUM(D177)</f>
        <v>499.48</v>
      </c>
      <c r="E178" s="169"/>
    </row>
    <row r="179" spans="1:5" s="168" customFormat="1" ht="12.75">
      <c r="A179" s="167"/>
      <c r="B179" s="140"/>
      <c r="C179" s="152"/>
      <c r="D179" s="227"/>
      <c r="E179" s="205"/>
    </row>
    <row r="180" spans="1:5" s="168" customFormat="1" ht="16.5" thickBot="1">
      <c r="A180" s="170"/>
      <c r="B180" s="171"/>
      <c r="C180" s="206" t="s">
        <v>248</v>
      </c>
      <c r="D180" s="228">
        <f>D31+D43+D55+D67+D79+D91+D103+D115+D127+D139+D151+D163+D175+D178</f>
        <v>343881.75999999995</v>
      </c>
      <c r="E180" s="205"/>
    </row>
    <row r="181" spans="1:4" ht="13.5" thickTop="1">
      <c r="A181" s="151"/>
      <c r="B181" s="19"/>
      <c r="C181" s="152"/>
      <c r="D181" s="229"/>
    </row>
    <row r="182" spans="1:4" s="19" customFormat="1" ht="12.75">
      <c r="A182" s="151"/>
      <c r="C182" s="152" t="s">
        <v>166</v>
      </c>
      <c r="D182" s="229">
        <f>D21+D33+D45+D57+D69+D81+D93+D105+D117+D129+D141+D153+D165+D177</f>
        <v>49369.380000000005</v>
      </c>
    </row>
    <row r="183" spans="1:4" s="19" customFormat="1" ht="12.75">
      <c r="A183" s="151"/>
      <c r="C183" s="152" t="s">
        <v>167</v>
      </c>
      <c r="D183" s="229">
        <f>+D22+D82+D94+D106+D118+D130+D70+D58+D46+D34+D142+D154+D166</f>
        <v>0</v>
      </c>
    </row>
    <row r="184" spans="1:4" s="19" customFormat="1" ht="12.75">
      <c r="A184" s="151"/>
      <c r="C184" s="152" t="s">
        <v>249</v>
      </c>
      <c r="D184" s="229">
        <f>D23+D35+D47+D59+D71+D83+D95+D107+D119+D131+D143+D155</f>
        <v>1232.02</v>
      </c>
    </row>
    <row r="185" spans="1:4" s="19" customFormat="1" ht="12.75">
      <c r="A185" s="151"/>
      <c r="C185" s="152" t="s">
        <v>165</v>
      </c>
      <c r="D185" s="229">
        <f>D24+D36+D48+D60+D72+D84+D96+D108+D120+D132+D144+D156+D168</f>
        <v>7684.740000000001</v>
      </c>
    </row>
    <row r="186" spans="1:4" s="19" customFormat="1" ht="12.75">
      <c r="A186" s="151"/>
      <c r="C186" s="152" t="s">
        <v>164</v>
      </c>
      <c r="D186" s="229">
        <f>+D25+D85+D97+D109+D121+D133+D73+D61+D49+D37+D145+D157+D169</f>
        <v>634.3</v>
      </c>
    </row>
    <row r="187" spans="1:4" s="19" customFormat="1" ht="12.75">
      <c r="A187" s="151"/>
      <c r="C187" s="152" t="s">
        <v>250</v>
      </c>
      <c r="D187" s="229">
        <f>D26+D86+D98+D110+D122+D134+D74+D62+D50+D38+D146+D158+D170</f>
        <v>20710.91</v>
      </c>
    </row>
    <row r="188" spans="1:4" s="19" customFormat="1" ht="12.75">
      <c r="A188" s="151"/>
      <c r="C188" s="152" t="s">
        <v>160</v>
      </c>
      <c r="D188" s="229">
        <f>D27+D39+D51+D63+D75+D87+D99+D111+D123+D135+D147+D159+D171</f>
        <v>5171.94</v>
      </c>
    </row>
    <row r="189" spans="1:4" s="19" customFormat="1" ht="12.75">
      <c r="A189" s="151"/>
      <c r="C189" s="152" t="s">
        <v>168</v>
      </c>
      <c r="D189" s="229">
        <f>D28+D40+D52+D64+D76+D88+D100+D112+D124+D136+D148+D160+D172</f>
        <v>0</v>
      </c>
    </row>
    <row r="190" spans="1:4" s="19" customFormat="1" ht="12.75">
      <c r="A190" s="151"/>
      <c r="C190" s="152" t="s">
        <v>181</v>
      </c>
      <c r="D190" s="229">
        <f>D29+D41+D53+D65+D77+D89+D101+D113+D125+D137+D149+D161+D173</f>
        <v>740.24</v>
      </c>
    </row>
    <row r="191" spans="1:4" s="19" customFormat="1" ht="12.75">
      <c r="A191" s="151"/>
      <c r="C191" s="152" t="s">
        <v>182</v>
      </c>
      <c r="D191" s="229">
        <f>D30+D42+D54+D66+D78+D90+D102+D114+D126+D138+D150+D162+D174</f>
        <v>258338.22999999995</v>
      </c>
    </row>
    <row r="192" spans="1:4" s="19" customFormat="1" ht="13.5" thickBot="1">
      <c r="A192" s="170"/>
      <c r="B192" s="171"/>
      <c r="C192" s="172" t="s">
        <v>23</v>
      </c>
      <c r="D192" s="230">
        <f>SUM(D182:D191)</f>
        <v>343881.75999999995</v>
      </c>
    </row>
    <row r="193" spans="1:6" s="19" customFormat="1" ht="13.5" thickTop="1">
      <c r="A193" s="151"/>
      <c r="C193" s="152"/>
      <c r="D193" s="229"/>
      <c r="E193" s="179"/>
      <c r="F193" s="258"/>
    </row>
    <row r="194" spans="1:4" s="19" customFormat="1" ht="12.75">
      <c r="A194" s="146"/>
      <c r="B194"/>
      <c r="C194"/>
      <c r="D194" s="223"/>
    </row>
    <row r="195" spans="3:4" ht="12.75">
      <c r="C195" s="155"/>
      <c r="D195" s="231"/>
    </row>
    <row r="196" spans="1:4" ht="20.25">
      <c r="A196" s="173"/>
      <c r="B196" s="174"/>
      <c r="C196" s="175" t="s">
        <v>147</v>
      </c>
      <c r="D196" s="232">
        <f>D17+D180</f>
        <v>461602.74999999994</v>
      </c>
    </row>
    <row r="197" spans="3:4" ht="12.75">
      <c r="C197" s="156"/>
      <c r="D197" s="164"/>
    </row>
    <row r="198" spans="2:3" ht="12.75">
      <c r="B198" s="20" t="s">
        <v>169</v>
      </c>
      <c r="C198" s="20"/>
    </row>
    <row r="199" spans="2:4" ht="12.75">
      <c r="B199" t="s">
        <v>161</v>
      </c>
      <c r="D199" s="223">
        <f>D182</f>
        <v>49369.380000000005</v>
      </c>
    </row>
    <row r="200" spans="2:4" ht="12.75">
      <c r="B200" t="s">
        <v>162</v>
      </c>
      <c r="D200" s="223">
        <f aca="true" t="shared" si="0" ref="D200:D207">D183</f>
        <v>0</v>
      </c>
    </row>
    <row r="201" spans="2:4" ht="12.75">
      <c r="B201" t="s">
        <v>247</v>
      </c>
      <c r="D201" s="223">
        <f t="shared" si="0"/>
        <v>1232.02</v>
      </c>
    </row>
    <row r="202" spans="2:4" ht="12.75">
      <c r="B202" t="s">
        <v>14</v>
      </c>
      <c r="D202" s="223">
        <f t="shared" si="0"/>
        <v>7684.740000000001</v>
      </c>
    </row>
    <row r="203" spans="2:4" ht="12.75">
      <c r="B203" t="s">
        <v>21</v>
      </c>
      <c r="D203" s="223">
        <f>D186+D16</f>
        <v>114230.29</v>
      </c>
    </row>
    <row r="204" spans="2:4" ht="12.75">
      <c r="B204" t="s">
        <v>170</v>
      </c>
      <c r="D204" s="223">
        <f t="shared" si="0"/>
        <v>20710.91</v>
      </c>
    </row>
    <row r="205" spans="2:4" ht="12.75">
      <c r="B205" t="s">
        <v>15</v>
      </c>
      <c r="D205" s="223">
        <f t="shared" si="0"/>
        <v>5171.94</v>
      </c>
    </row>
    <row r="206" spans="2:4" ht="12.75">
      <c r="B206" t="s">
        <v>17</v>
      </c>
      <c r="D206" s="223">
        <f t="shared" si="0"/>
        <v>0</v>
      </c>
    </row>
    <row r="207" spans="2:4" ht="12.75">
      <c r="B207" t="s">
        <v>183</v>
      </c>
      <c r="D207" s="223">
        <f t="shared" si="0"/>
        <v>740.24</v>
      </c>
    </row>
    <row r="208" spans="2:4" ht="12.75">
      <c r="B208" t="s">
        <v>184</v>
      </c>
      <c r="D208" s="223">
        <f>D191+D15</f>
        <v>262463.23</v>
      </c>
    </row>
    <row r="209" spans="1:4" ht="21" thickBot="1">
      <c r="A209" s="176"/>
      <c r="B209" s="177"/>
      <c r="C209" s="178" t="s">
        <v>147</v>
      </c>
      <c r="D209" s="233">
        <f>SUM(D199:D208)</f>
        <v>461602.75</v>
      </c>
    </row>
    <row r="210" ht="13.5" thickTop="1">
      <c r="F210" s="207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Footer>&amp;ROrder U-09-xxx(1)/P-08-xxx(1)
Apendix E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75" zoomScalePageLayoutView="0" workbookViewId="0" topLeftCell="A4">
      <selection activeCell="F32" sqref="F32"/>
    </sheetView>
  </sheetViews>
  <sheetFormatPr defaultColWidth="9.140625" defaultRowHeight="12.75"/>
  <cols>
    <col min="1" max="1" width="10.7109375" style="0" customWidth="1"/>
    <col min="2" max="2" width="11.57421875" style="0" customWidth="1"/>
    <col min="3" max="3" width="11.57421875" style="1" customWidth="1"/>
    <col min="4" max="7" width="10.7109375" style="1" customWidth="1"/>
    <col min="8" max="8" width="11.7109375" style="1" customWidth="1"/>
    <col min="9" max="14" width="10.7109375" style="1" customWidth="1"/>
    <col min="15" max="15" width="13.421875" style="1" customWidth="1"/>
    <col min="16" max="16" width="10.7109375" style="1" customWidth="1"/>
  </cols>
  <sheetData>
    <row r="1" spans="1:5" ht="12.75">
      <c r="A1" s="13" t="s">
        <v>123</v>
      </c>
      <c r="B1" s="13"/>
      <c r="E1" s="2"/>
    </row>
    <row r="3" spans="1:16" ht="25.5">
      <c r="A3" s="94" t="s">
        <v>124</v>
      </c>
      <c r="B3" s="94" t="s">
        <v>206</v>
      </c>
      <c r="C3" s="7" t="s">
        <v>205</v>
      </c>
      <c r="D3" s="6"/>
      <c r="E3" s="7" t="s">
        <v>120</v>
      </c>
      <c r="F3" s="7"/>
      <c r="G3" s="7"/>
      <c r="H3" s="7" t="s">
        <v>11</v>
      </c>
      <c r="I3" s="7"/>
      <c r="J3" s="7"/>
      <c r="K3" s="7"/>
      <c r="L3" s="7"/>
      <c r="M3" s="7"/>
      <c r="N3" s="7"/>
      <c r="O3" s="7" t="s">
        <v>202</v>
      </c>
      <c r="P3" s="8"/>
    </row>
    <row r="4" spans="1:16" ht="12.75">
      <c r="A4" s="9" t="s">
        <v>125</v>
      </c>
      <c r="B4" s="9"/>
      <c r="C4" s="9" t="s">
        <v>12</v>
      </c>
      <c r="D4" s="9" t="s">
        <v>13</v>
      </c>
      <c r="E4" s="9" t="s">
        <v>10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198</v>
      </c>
      <c r="P4" s="9" t="s">
        <v>23</v>
      </c>
    </row>
    <row r="6" spans="1:16" ht="12.75">
      <c r="A6" s="10">
        <f>+'CC Summary'!A9</f>
        <v>39583</v>
      </c>
      <c r="B6" s="92">
        <f>SUM('CP Summary:Finance Summary'!B9)</f>
        <v>0</v>
      </c>
      <c r="C6" s="92">
        <f>SUM('CP Summary:Finance Summary'!C9)</f>
        <v>59.25</v>
      </c>
      <c r="D6" s="92">
        <f>SUM('CP Summary:Finance Summary'!D9)</f>
        <v>74.5</v>
      </c>
      <c r="E6" s="92">
        <f>SUM('CP Summary:Finance Summary'!E9)</f>
        <v>177.25</v>
      </c>
      <c r="F6" s="92">
        <f>SUM('CP Summary:Finance Summary'!F9)</f>
        <v>236</v>
      </c>
      <c r="G6" s="92">
        <f>SUM('CP Summary:Finance Summary'!G9)</f>
        <v>65.5</v>
      </c>
      <c r="H6" s="92">
        <f>SUM('CP Summary:Finance Summary'!H9)</f>
        <v>164.25</v>
      </c>
      <c r="I6" s="92">
        <f>SUM('CP Summary:Finance Summary'!I9)</f>
        <v>35.25</v>
      </c>
      <c r="J6" s="92">
        <f>SUM('CP Summary:Finance Summary'!J9)</f>
        <v>288.75</v>
      </c>
      <c r="K6" s="92">
        <f>SUM('CP Summary:Finance Summary'!K9)</f>
        <v>62</v>
      </c>
      <c r="L6" s="92">
        <f>SUM('CP Summary:Finance Summary'!L9)</f>
        <v>2</v>
      </c>
      <c r="M6" s="92">
        <f>SUM('CP Summary:Finance Summary'!M9)</f>
        <v>28.25</v>
      </c>
      <c r="N6" s="92">
        <f>SUM('CP Summary:Finance Summary'!N9)</f>
        <v>0</v>
      </c>
      <c r="O6" s="92">
        <f>SUM('CP Summary:Finance Summary'!O9)</f>
        <v>36.25</v>
      </c>
      <c r="P6" s="92">
        <f>SUM('CP Summary:Finance Summary'!P9)</f>
        <v>1394.5</v>
      </c>
    </row>
    <row r="7" spans="1:16" ht="12.75">
      <c r="A7" s="10">
        <f>+'CC Summary'!A10</f>
        <v>39599</v>
      </c>
      <c r="B7" s="92">
        <f>SUM('CP Summary:Finance Summary'!B10)</f>
        <v>0</v>
      </c>
      <c r="C7" s="92">
        <f>SUM('CP Summary:Finance Summary'!C10)</f>
        <v>49.25</v>
      </c>
      <c r="D7" s="92">
        <f>SUM('CP Summary:Finance Summary'!D10)</f>
        <v>251.75</v>
      </c>
      <c r="E7" s="92">
        <f>SUM('CP Summary:Finance Summary'!E10)</f>
        <v>159</v>
      </c>
      <c r="F7" s="92">
        <f>SUM('CP Summary:Finance Summary'!F10)</f>
        <v>203.75</v>
      </c>
      <c r="G7" s="92">
        <f>SUM('CP Summary:Finance Summary'!G10)</f>
        <v>78</v>
      </c>
      <c r="H7" s="92">
        <f>SUM('CP Summary:Finance Summary'!H10)</f>
        <v>107.5</v>
      </c>
      <c r="I7" s="92">
        <f>SUM('CP Summary:Finance Summary'!I10)</f>
        <v>9</v>
      </c>
      <c r="J7" s="92">
        <f>SUM('CP Summary:Finance Summary'!J10)</f>
        <v>243.625</v>
      </c>
      <c r="K7" s="92">
        <f>SUM('CP Summary:Finance Summary'!K10)</f>
        <v>54.375</v>
      </c>
      <c r="L7" s="92">
        <f>SUM('CP Summary:Finance Summary'!L10)</f>
        <v>24.25</v>
      </c>
      <c r="M7" s="92">
        <f>SUM('CP Summary:Finance Summary'!M10)</f>
        <v>11</v>
      </c>
      <c r="N7" s="92">
        <f>SUM('CP Summary:Finance Summary'!N10)</f>
        <v>0</v>
      </c>
      <c r="O7" s="92">
        <f>SUM('CP Summary:Finance Summary'!O10)</f>
        <v>33.25</v>
      </c>
      <c r="P7" s="92">
        <f>SUM('CP Summary:Finance Summary'!P10)</f>
        <v>1375.5</v>
      </c>
    </row>
    <row r="8" spans="1:16" ht="12.75">
      <c r="A8" s="10">
        <f>+'CC Summary'!A11</f>
        <v>39614</v>
      </c>
      <c r="B8" s="92">
        <f>SUM('CP Summary:Finance Summary'!B11)</f>
        <v>0</v>
      </c>
      <c r="C8" s="92">
        <f>SUM('CP Summary:Finance Summary'!C11)</f>
        <v>64.25</v>
      </c>
      <c r="D8" s="92">
        <f>SUM('CP Summary:Finance Summary'!D11)</f>
        <v>63.5</v>
      </c>
      <c r="E8" s="92">
        <f>SUM('CP Summary:Finance Summary'!E11)</f>
        <v>172.5</v>
      </c>
      <c r="F8" s="92">
        <f>SUM('CP Summary:Finance Summary'!F11)</f>
        <v>162.25</v>
      </c>
      <c r="G8" s="92">
        <f>SUM('CP Summary:Finance Summary'!G11)</f>
        <v>42</v>
      </c>
      <c r="H8" s="92">
        <f>SUM('CP Summary:Finance Summary'!H11)</f>
        <v>174.75</v>
      </c>
      <c r="I8" s="92">
        <f>SUM('CP Summary:Finance Summary'!I11)</f>
        <v>3.5</v>
      </c>
      <c r="J8" s="92">
        <f>SUM('CP Summary:Finance Summary'!J11)</f>
        <v>345.95</v>
      </c>
      <c r="K8" s="92">
        <f>SUM('CP Summary:Finance Summary'!K11)</f>
        <v>66</v>
      </c>
      <c r="L8" s="92">
        <f>SUM('CP Summary:Finance Summary'!L11)</f>
        <v>0</v>
      </c>
      <c r="M8" s="92">
        <f>SUM('CP Summary:Finance Summary'!M11)</f>
        <v>33.5</v>
      </c>
      <c r="N8" s="92">
        <f>SUM('CP Summary:Finance Summary'!N11)</f>
        <v>0</v>
      </c>
      <c r="O8" s="92">
        <f>SUM('CP Summary:Finance Summary'!O11)</f>
        <v>5</v>
      </c>
      <c r="P8" s="92">
        <f>SUM('CP Summary:Finance Summary'!P11)</f>
        <v>1267</v>
      </c>
    </row>
    <row r="9" spans="1:16" ht="12.75">
      <c r="A9" s="125">
        <f>+'CC Summary'!A12</f>
        <v>39629</v>
      </c>
      <c r="B9" s="92">
        <f>SUM('CP Summary:Finance Summary'!B12)</f>
        <v>0</v>
      </c>
      <c r="C9" s="92">
        <f>SUM('CP Summary:Finance Summary'!C12)</f>
        <v>63.25</v>
      </c>
      <c r="D9" s="92">
        <f>SUM('CP Summary:Finance Summary'!D12)</f>
        <v>80.5</v>
      </c>
      <c r="E9" s="92">
        <f>SUM('CP Summary:Finance Summary'!E12)</f>
        <v>141.75</v>
      </c>
      <c r="F9" s="92">
        <f>SUM('CP Summary:Finance Summary'!F12)</f>
        <v>134.25</v>
      </c>
      <c r="G9" s="92">
        <f>SUM('CP Summary:Finance Summary'!G12)</f>
        <v>136.5</v>
      </c>
      <c r="H9" s="92">
        <f>SUM('CP Summary:Finance Summary'!H12)</f>
        <v>152.75</v>
      </c>
      <c r="I9" s="92">
        <f>SUM('CP Summary:Finance Summary'!I12)</f>
        <v>19</v>
      </c>
      <c r="J9" s="92">
        <f>SUM('CP Summary:Finance Summary'!J12)</f>
        <v>347.375</v>
      </c>
      <c r="K9" s="92">
        <f>SUM('CP Summary:Finance Summary'!K12)</f>
        <v>85.375</v>
      </c>
      <c r="L9" s="92">
        <f>SUM('CP Summary:Finance Summary'!L12)</f>
        <v>7</v>
      </c>
      <c r="M9" s="92">
        <f>SUM('CP Summary:Finance Summary'!M12)</f>
        <v>38</v>
      </c>
      <c r="N9" s="92">
        <f>SUM('CP Summary:Finance Summary'!N12)</f>
        <v>7</v>
      </c>
      <c r="O9" s="92">
        <f>SUM('CP Summary:Finance Summary'!O12)</f>
        <v>8</v>
      </c>
      <c r="P9" s="92">
        <f>SUM('CP Summary:Finance Summary'!P12)</f>
        <v>1394.5</v>
      </c>
    </row>
    <row r="10" spans="1:16" ht="12.75">
      <c r="A10" s="10">
        <f>+'CC Summary'!A13</f>
        <v>39644</v>
      </c>
      <c r="B10" s="92">
        <f>SUM('CP Summary:Finance Summary'!B13)</f>
        <v>0</v>
      </c>
      <c r="C10" s="92">
        <f>SUM('CP Summary:Finance Summary'!C13)</f>
        <v>101</v>
      </c>
      <c r="D10" s="92">
        <f>SUM('CP Summary:Finance Summary'!D13)</f>
        <v>250.75</v>
      </c>
      <c r="E10" s="92">
        <f>SUM('CP Summary:Finance Summary'!E13)</f>
        <v>191.5</v>
      </c>
      <c r="F10" s="92">
        <f>SUM('CP Summary:Finance Summary'!F13)</f>
        <v>107</v>
      </c>
      <c r="G10" s="92">
        <f>SUM('CP Summary:Finance Summary'!G13)</f>
        <v>92.5</v>
      </c>
      <c r="H10" s="92">
        <f>SUM('CP Summary:Finance Summary'!H13)</f>
        <v>81.25</v>
      </c>
      <c r="I10" s="92">
        <f>SUM('CP Summary:Finance Summary'!I13)</f>
        <v>4.5</v>
      </c>
      <c r="J10" s="92">
        <f>SUM('CP Summary:Finance Summary'!J13)</f>
        <v>235.625</v>
      </c>
      <c r="K10" s="92">
        <f>SUM('CP Summary:Finance Summary'!K13)</f>
        <v>55.375</v>
      </c>
      <c r="L10" s="92">
        <f>SUM('CP Summary:Finance Summary'!L13)</f>
        <v>2.5</v>
      </c>
      <c r="M10" s="92">
        <f>SUM('CP Summary:Finance Summary'!M13)</f>
        <v>30.25</v>
      </c>
      <c r="N10" s="92">
        <f>SUM('CP Summary:Finance Summary'!N13)</f>
        <v>16</v>
      </c>
      <c r="O10" s="92">
        <f>SUM('CP Summary:Finance Summary'!O13)</f>
        <v>1.5</v>
      </c>
      <c r="P10" s="92">
        <f>SUM('CP Summary:Finance Summary'!P13)</f>
        <v>1291.5</v>
      </c>
    </row>
    <row r="11" spans="1:16" ht="12.75">
      <c r="A11" s="10">
        <f>+'CC Summary'!A14</f>
        <v>39660</v>
      </c>
      <c r="B11" s="92">
        <f>SUM('CP Summary:Finance Summary'!B14)</f>
        <v>0</v>
      </c>
      <c r="C11" s="92">
        <f>SUM('CP Summary:Finance Summary'!C14)</f>
        <v>87.5</v>
      </c>
      <c r="D11" s="92">
        <f>SUM('CP Summary:Finance Summary'!D14)</f>
        <v>229.5</v>
      </c>
      <c r="E11" s="92">
        <f>SUM('CP Summary:Finance Summary'!E14)</f>
        <v>149.25</v>
      </c>
      <c r="F11" s="92">
        <f>SUM('CP Summary:Finance Summary'!F14)</f>
        <v>171.5</v>
      </c>
      <c r="G11" s="92">
        <f>SUM('CP Summary:Finance Summary'!G14)</f>
        <v>99.5</v>
      </c>
      <c r="H11" s="92">
        <f>SUM('CP Summary:Finance Summary'!H14)</f>
        <v>53.5</v>
      </c>
      <c r="I11" s="92">
        <f>SUM('CP Summary:Finance Summary'!I14)</f>
        <v>7</v>
      </c>
      <c r="J11" s="92">
        <f>SUM('CP Summary:Finance Summary'!J14)</f>
        <v>244</v>
      </c>
      <c r="K11" s="92">
        <f>SUM('CP Summary:Finance Summary'!K14)</f>
        <v>95</v>
      </c>
      <c r="L11" s="92">
        <f>SUM('CP Summary:Finance Summary'!L14)</f>
        <v>0</v>
      </c>
      <c r="M11" s="92">
        <f>SUM('CP Summary:Finance Summary'!M14)</f>
        <v>8.25</v>
      </c>
      <c r="N11" s="92">
        <f>SUM('CP Summary:Finance Summary'!N14)</f>
        <v>6</v>
      </c>
      <c r="O11" s="92">
        <f>SUM('CP Summary:Finance Summary'!O14)</f>
        <v>25</v>
      </c>
      <c r="P11" s="92">
        <f>SUM('CP Summary:Finance Summary'!P14)</f>
        <v>1339</v>
      </c>
    </row>
    <row r="12" spans="1:16" ht="12.75">
      <c r="A12" s="10">
        <f>+'CC Summary'!A15</f>
        <v>39675</v>
      </c>
      <c r="B12" s="92">
        <f>SUM('CP Summary:Finance Summary'!B15)</f>
        <v>0</v>
      </c>
      <c r="C12" s="92">
        <f>SUM('CP Summary:Finance Summary'!C15)</f>
        <v>71.25</v>
      </c>
      <c r="D12" s="92">
        <f>SUM('CP Summary:Finance Summary'!D15)</f>
        <v>46</v>
      </c>
      <c r="E12" s="92">
        <f>SUM('CP Summary:Finance Summary'!E15)</f>
        <v>156</v>
      </c>
      <c r="F12" s="92">
        <f>SUM('CP Summary:Finance Summary'!F15)</f>
        <v>144.25</v>
      </c>
      <c r="G12" s="92">
        <f>SUM('CP Summary:Finance Summary'!G15)</f>
        <v>109.25</v>
      </c>
      <c r="H12" s="92">
        <f>SUM('CP Summary:Finance Summary'!H15)</f>
        <v>75.25</v>
      </c>
      <c r="I12" s="92">
        <f>SUM('CP Summary:Finance Summary'!I15)</f>
        <v>3</v>
      </c>
      <c r="J12" s="92">
        <f>SUM('CP Summary:Finance Summary'!J15)</f>
        <v>306.5</v>
      </c>
      <c r="K12" s="92">
        <f>SUM('CP Summary:Finance Summary'!K15)</f>
        <v>61</v>
      </c>
      <c r="L12" s="92">
        <f>SUM('CP Summary:Finance Summary'!L15)</f>
        <v>0</v>
      </c>
      <c r="M12" s="92">
        <f>SUM('CP Summary:Finance Summary'!M15)</f>
        <v>35.75</v>
      </c>
      <c r="N12" s="92">
        <f>SUM('CP Summary:Finance Summary'!N15)</f>
        <v>0</v>
      </c>
      <c r="O12" s="92">
        <f>SUM('CP Summary:Finance Summary'!O15)</f>
        <v>20.5</v>
      </c>
      <c r="P12" s="92">
        <f>SUM('CP Summary:Finance Summary'!P15)</f>
        <v>1132.5</v>
      </c>
    </row>
    <row r="13" spans="1:16" ht="12.75">
      <c r="A13" s="10">
        <f>+'CC Summary'!A16</f>
        <v>39691</v>
      </c>
      <c r="B13" s="92">
        <f>SUM('CP Summary:Finance Summary'!B16)</f>
        <v>0</v>
      </c>
      <c r="C13" s="92">
        <f>SUM('CP Summary:Finance Summary'!C16)</f>
        <v>202.75</v>
      </c>
      <c r="D13" s="92">
        <f>SUM('CP Summary:Finance Summary'!D16)</f>
        <v>161.5</v>
      </c>
      <c r="E13" s="92">
        <f>SUM('CP Summary:Finance Summary'!E16)</f>
        <v>167.25</v>
      </c>
      <c r="F13" s="92">
        <f>SUM('CP Summary:Finance Summary'!F16)</f>
        <v>126.25</v>
      </c>
      <c r="G13" s="92">
        <f>SUM('CP Summary:Finance Summary'!G16)</f>
        <v>116.25</v>
      </c>
      <c r="H13" s="92">
        <f>SUM('CP Summary:Finance Summary'!H16)</f>
        <v>51.75</v>
      </c>
      <c r="I13" s="92">
        <f>SUM('CP Summary:Finance Summary'!I16)</f>
        <v>14</v>
      </c>
      <c r="J13" s="92">
        <f>SUM('CP Summary:Finance Summary'!J16)</f>
        <v>238</v>
      </c>
      <c r="K13" s="92">
        <f>SUM('CP Summary:Finance Summary'!K16)</f>
        <v>26.5</v>
      </c>
      <c r="L13" s="92">
        <f>SUM('CP Summary:Finance Summary'!L16)</f>
        <v>0</v>
      </c>
      <c r="M13" s="92">
        <f>SUM('CP Summary:Finance Summary'!M16)</f>
        <v>17.25</v>
      </c>
      <c r="N13" s="92">
        <f>SUM('CP Summary:Finance Summary'!N16)</f>
        <v>0</v>
      </c>
      <c r="O13" s="92">
        <f>SUM('CP Summary:Finance Summary'!O16)</f>
        <v>8</v>
      </c>
      <c r="P13" s="92">
        <f>SUM('CP Summary:Finance Summary'!P16)</f>
        <v>1237.5</v>
      </c>
    </row>
    <row r="14" spans="1:16" ht="12.75">
      <c r="A14" s="10">
        <f>+'CC Summary'!A17</f>
        <v>39706</v>
      </c>
      <c r="B14" s="92">
        <f>SUM('CP Summary:Finance Summary'!B17)</f>
        <v>0</v>
      </c>
      <c r="C14" s="92">
        <f>SUM('CP Summary:Finance Summary'!C17)</f>
        <v>85.5</v>
      </c>
      <c r="D14" s="92">
        <f>SUM('CP Summary:Finance Summary'!D17)</f>
        <v>241.5</v>
      </c>
      <c r="E14" s="92">
        <f>SUM('CP Summary:Finance Summary'!E17)</f>
        <v>209.75</v>
      </c>
      <c r="F14" s="92">
        <f>SUM('CP Summary:Finance Summary'!F17)</f>
        <v>192.5</v>
      </c>
      <c r="G14" s="92">
        <f>SUM('CP Summary:Finance Summary'!G17)</f>
        <v>95</v>
      </c>
      <c r="H14" s="92">
        <f>SUM('CP Summary:Finance Summary'!H17)</f>
        <v>23.25</v>
      </c>
      <c r="I14" s="92">
        <f>SUM('CP Summary:Finance Summary'!I17)</f>
        <v>38</v>
      </c>
      <c r="J14" s="92">
        <f>SUM('CP Summary:Finance Summary'!J17)</f>
        <v>208.25</v>
      </c>
      <c r="K14" s="92">
        <f>SUM('CP Summary:Finance Summary'!K17)</f>
        <v>51.75</v>
      </c>
      <c r="L14" s="92">
        <f>SUM('CP Summary:Finance Summary'!L17)</f>
        <v>0</v>
      </c>
      <c r="M14" s="92">
        <f>SUM('CP Summary:Finance Summary'!M17)</f>
        <v>8</v>
      </c>
      <c r="N14" s="92">
        <f>SUM('CP Summary:Finance Summary'!N17)</f>
        <v>5</v>
      </c>
      <c r="O14" s="92">
        <f>SUM('CP Summary:Finance Summary'!O17)</f>
        <v>20.5</v>
      </c>
      <c r="P14" s="92">
        <f>SUM('CP Summary:Finance Summary'!P17)</f>
        <v>1299</v>
      </c>
    </row>
    <row r="15" spans="1:16" ht="12.75">
      <c r="A15" s="10">
        <f>+'CC Summary'!A18</f>
        <v>39721</v>
      </c>
      <c r="B15" s="92">
        <f>SUM('CP Summary:Finance Summary'!B18)</f>
        <v>0</v>
      </c>
      <c r="C15" s="92">
        <f>SUM('CP Summary:Finance Summary'!C18)</f>
        <v>99.75</v>
      </c>
      <c r="D15" s="92">
        <f>SUM('CP Summary:Finance Summary'!D18)</f>
        <v>113</v>
      </c>
      <c r="E15" s="92">
        <f>SUM('CP Summary:Finance Summary'!E18)</f>
        <v>199.75</v>
      </c>
      <c r="F15" s="92">
        <f>SUM('CP Summary:Finance Summary'!F18)</f>
        <v>288.75</v>
      </c>
      <c r="G15" s="92">
        <f>SUM('CP Summary:Finance Summary'!G18)</f>
        <v>106.75</v>
      </c>
      <c r="H15" s="92">
        <f>SUM('CP Summary:Finance Summary'!H18)</f>
        <v>96.25</v>
      </c>
      <c r="I15" s="92">
        <f>SUM('CP Summary:Finance Summary'!I18)</f>
        <v>54.25</v>
      </c>
      <c r="J15" s="92">
        <f>SUM('CP Summary:Finance Summary'!J18)</f>
        <v>261.75</v>
      </c>
      <c r="K15" s="92">
        <f>SUM('CP Summary:Finance Summary'!K18)</f>
        <v>55.75</v>
      </c>
      <c r="L15" s="92">
        <f>SUM('CP Summary:Finance Summary'!L18)</f>
        <v>0</v>
      </c>
      <c r="M15" s="92">
        <f>SUM('CP Summary:Finance Summary'!M18)</f>
        <v>26</v>
      </c>
      <c r="N15" s="92">
        <f>SUM('CP Summary:Finance Summary'!N18)</f>
        <v>0</v>
      </c>
      <c r="O15" s="92">
        <f>SUM('CP Summary:Finance Summary'!O18)</f>
        <v>3</v>
      </c>
      <c r="P15" s="92">
        <f>SUM('CP Summary:Finance Summary'!P18)</f>
        <v>1432.5</v>
      </c>
    </row>
    <row r="16" spans="1:16" ht="12.75">
      <c r="A16" s="10">
        <f>+'CC Summary'!A19</f>
        <v>39736</v>
      </c>
      <c r="B16" s="92">
        <f>SUM('CP Summary:Finance Summary'!B19)</f>
        <v>0</v>
      </c>
      <c r="C16" s="92">
        <f>SUM('CP Summary:Finance Summary'!C19)</f>
        <v>85.75</v>
      </c>
      <c r="D16" s="92">
        <f>SUM('CP Summary:Finance Summary'!D19)</f>
        <v>152.25</v>
      </c>
      <c r="E16" s="92">
        <f>SUM('CP Summary:Finance Summary'!E19)</f>
        <v>157</v>
      </c>
      <c r="F16" s="92">
        <f>SUM('CP Summary:Finance Summary'!F19)</f>
        <v>214</v>
      </c>
      <c r="G16" s="92">
        <f>SUM('CP Summary:Finance Summary'!G19)</f>
        <v>137</v>
      </c>
      <c r="H16" s="92">
        <f>SUM('CP Summary:Finance Summary'!H19)</f>
        <v>87.5</v>
      </c>
      <c r="I16" s="92">
        <f>SUM('CP Summary:Finance Summary'!I19)</f>
        <v>37.5</v>
      </c>
      <c r="J16" s="92">
        <f>SUM('CP Summary:Finance Summary'!J19)</f>
        <v>320</v>
      </c>
      <c r="K16" s="92">
        <f>SUM('CP Summary:Finance Summary'!K19)</f>
        <v>76.5</v>
      </c>
      <c r="L16" s="92">
        <f>SUM('CP Summary:Finance Summary'!L19)</f>
        <v>0</v>
      </c>
      <c r="M16" s="92">
        <f>SUM('CP Summary:Finance Summary'!M19)</f>
        <v>43.75</v>
      </c>
      <c r="N16" s="92">
        <f>SUM('CP Summary:Finance Summary'!N19)</f>
        <v>5</v>
      </c>
      <c r="O16" s="92">
        <f>SUM('CP Summary:Finance Summary'!O19)</f>
        <v>14.25</v>
      </c>
      <c r="P16" s="92">
        <f>SUM('CP Summary:Finance Summary'!P19)</f>
        <v>1470</v>
      </c>
    </row>
    <row r="17" spans="1:16" ht="12.75">
      <c r="A17" s="10">
        <f>+'CC Summary'!A20</f>
        <v>39752</v>
      </c>
      <c r="B17" s="92">
        <f>SUM('CP Summary:Finance Summary'!B20)</f>
        <v>0</v>
      </c>
      <c r="C17" s="92">
        <f>SUM('CP Summary:Finance Summary'!C20)</f>
        <v>68</v>
      </c>
      <c r="D17" s="92">
        <f>SUM('CP Summary:Finance Summary'!D20)</f>
        <v>250</v>
      </c>
      <c r="E17" s="92">
        <f>SUM('CP Summary:Finance Summary'!E20)</f>
        <v>205.25</v>
      </c>
      <c r="F17" s="92">
        <f>SUM('CP Summary:Finance Summary'!F20)</f>
        <v>274.25</v>
      </c>
      <c r="G17" s="92">
        <f>SUM('CP Summary:Finance Summary'!G20)</f>
        <v>44</v>
      </c>
      <c r="H17" s="92">
        <f>SUM('CP Summary:Finance Summary'!H20)</f>
        <v>63</v>
      </c>
      <c r="I17" s="92">
        <f>SUM('CP Summary:Finance Summary'!I20)</f>
        <v>49</v>
      </c>
      <c r="J17" s="92">
        <f>SUM('CP Summary:Finance Summary'!J20)</f>
        <v>270.25</v>
      </c>
      <c r="K17" s="92">
        <f>SUM('CP Summary:Finance Summary'!K20)</f>
        <v>82.5</v>
      </c>
      <c r="L17" s="92">
        <f>SUM('CP Summary:Finance Summary'!L20)</f>
        <v>0</v>
      </c>
      <c r="M17" s="92">
        <f>SUM('CP Summary:Finance Summary'!M20)</f>
        <v>134</v>
      </c>
      <c r="N17" s="92">
        <f>SUM('CP Summary:Finance Summary'!N20)</f>
        <v>2</v>
      </c>
      <c r="O17" s="92">
        <f>SUM('CP Summary:Finance Summary'!O20)</f>
        <v>22.5</v>
      </c>
      <c r="P17" s="92">
        <f>SUM('CP Summary:Finance Summary'!P20)</f>
        <v>1584</v>
      </c>
    </row>
    <row r="18" spans="1:16" ht="12.75">
      <c r="A18" s="10">
        <f>+'CC Summary'!A21</f>
        <v>39767</v>
      </c>
      <c r="B18" s="92">
        <f>SUM('CP Summary:Finance Summary'!B21)</f>
        <v>0</v>
      </c>
      <c r="C18" s="92">
        <f>SUM('CP Summary:Finance Summary'!C21)</f>
        <v>58</v>
      </c>
      <c r="D18" s="92">
        <f>SUM('CP Summary:Finance Summary'!D21)</f>
        <v>303.75</v>
      </c>
      <c r="E18" s="92">
        <f>SUM('CP Summary:Finance Summary'!E21)</f>
        <v>185</v>
      </c>
      <c r="F18" s="92">
        <f>SUM('CP Summary:Finance Summary'!F21)</f>
        <v>199.75</v>
      </c>
      <c r="G18" s="92">
        <f>SUM('CP Summary:Finance Summary'!G21)</f>
        <v>85.75</v>
      </c>
      <c r="H18" s="92">
        <f>SUM('CP Summary:Finance Summary'!H21)</f>
        <v>58</v>
      </c>
      <c r="I18" s="92">
        <f>SUM('CP Summary:Finance Summary'!I21)</f>
        <v>16</v>
      </c>
      <c r="J18" s="92">
        <f>SUM('CP Summary:Finance Summary'!J21)</f>
        <v>137.75</v>
      </c>
      <c r="K18" s="92">
        <f>SUM('CP Summary:Finance Summary'!K21)</f>
        <v>103.5</v>
      </c>
      <c r="L18" s="92">
        <f>SUM('CP Summary:Finance Summary'!L21)</f>
        <v>0</v>
      </c>
      <c r="M18" s="92">
        <f>SUM('CP Summary:Finance Summary'!M21)</f>
        <v>84.5</v>
      </c>
      <c r="N18" s="92">
        <f>SUM('CP Summary:Finance Summary'!N21)</f>
        <v>4.5</v>
      </c>
      <c r="O18" s="92">
        <f>SUM('CP Summary:Finance Summary'!O21)</f>
        <v>21.5</v>
      </c>
      <c r="P18" s="92">
        <f>SUM('CP Summary:Finance Summary'!P21)</f>
        <v>1329</v>
      </c>
    </row>
    <row r="19" spans="1:16" ht="12.75">
      <c r="A19" s="10">
        <f>+'CC Summary'!A22</f>
        <v>39782</v>
      </c>
      <c r="B19" s="92">
        <f>SUM('CP Summary:Finance Summary'!B22)</f>
        <v>0</v>
      </c>
      <c r="C19" s="92">
        <f>SUM('CP Summary:Finance Summary'!C22)</f>
        <v>56.25</v>
      </c>
      <c r="D19" s="92">
        <f>SUM('CP Summary:Finance Summary'!D22)</f>
        <v>285.75</v>
      </c>
      <c r="E19" s="92">
        <f>SUM('CP Summary:Finance Summary'!E22)</f>
        <v>155</v>
      </c>
      <c r="F19" s="92">
        <f>SUM('CP Summary:Finance Summary'!F22)</f>
        <v>193.25</v>
      </c>
      <c r="G19" s="92">
        <f>SUM('CP Summary:Finance Summary'!G22)</f>
        <v>125.5</v>
      </c>
      <c r="H19" s="92">
        <f>SUM('CP Summary:Finance Summary'!H22)</f>
        <v>111.25</v>
      </c>
      <c r="I19" s="92">
        <f>SUM('CP Summary:Finance Summary'!I22)</f>
        <v>7.25</v>
      </c>
      <c r="J19" s="92">
        <f>SUM('CP Summary:Finance Summary'!J22)</f>
        <v>259.75</v>
      </c>
      <c r="K19" s="92">
        <f>SUM('CP Summary:Finance Summary'!K22)</f>
        <v>51.25</v>
      </c>
      <c r="L19" s="92">
        <f>SUM('CP Summary:Finance Summary'!L22)</f>
        <v>0</v>
      </c>
      <c r="M19" s="92">
        <f>SUM('CP Summary:Finance Summary'!M22)</f>
        <v>27.5</v>
      </c>
      <c r="N19" s="92">
        <f>SUM('CP Summary:Finance Summary'!N22)</f>
        <v>0</v>
      </c>
      <c r="O19" s="92">
        <f>SUM('CP Summary:Finance Summary'!O22)</f>
        <v>0</v>
      </c>
      <c r="P19" s="92">
        <f>SUM('CP Summary:Finance Summary'!P22)</f>
        <v>1329</v>
      </c>
    </row>
    <row r="20" spans="1:16" ht="12.75">
      <c r="A20" s="10">
        <f>+'CC Summary'!A23</f>
        <v>39797</v>
      </c>
      <c r="B20" s="92">
        <f>SUM('CP Summary:Finance Summary'!B23)</f>
        <v>0</v>
      </c>
      <c r="C20" s="92">
        <f>SUM('CP Summary:Finance Summary'!C23)</f>
        <v>77</v>
      </c>
      <c r="D20" s="92">
        <f>SUM('CP Summary:Finance Summary'!D23)</f>
        <v>79.25</v>
      </c>
      <c r="E20" s="92">
        <f>SUM('CP Summary:Finance Summary'!E23)</f>
        <v>148.25</v>
      </c>
      <c r="F20" s="92">
        <f>SUM('CP Summary:Finance Summary'!F23)</f>
        <v>297.5</v>
      </c>
      <c r="G20" s="92">
        <f>SUM('CP Summary:Finance Summary'!G23)</f>
        <v>102.25</v>
      </c>
      <c r="H20" s="92">
        <f>SUM('CP Summary:Finance Summary'!H23)</f>
        <v>42</v>
      </c>
      <c r="I20" s="92">
        <f>SUM('CP Summary:Finance Summary'!I23)</f>
        <v>11.75</v>
      </c>
      <c r="J20" s="92">
        <f>SUM('CP Summary:Finance Summary'!J23)</f>
        <v>285.875</v>
      </c>
      <c r="K20" s="92">
        <f>SUM('CP Summary:Finance Summary'!K23)</f>
        <v>70.375</v>
      </c>
      <c r="L20" s="92">
        <f>SUM('CP Summary:Finance Summary'!L23)</f>
        <v>1.25</v>
      </c>
      <c r="M20" s="92">
        <f>SUM('CP Summary:Finance Summary'!M23)</f>
        <v>199.75</v>
      </c>
      <c r="N20" s="92">
        <f>SUM('CP Summary:Finance Summary'!N23)</f>
        <v>0</v>
      </c>
      <c r="O20" s="92">
        <f>SUM('CP Summary:Finance Summary'!O23)</f>
        <v>8</v>
      </c>
      <c r="P20" s="92">
        <f>SUM('CP Summary:Finance Summary'!P23)</f>
        <v>1470</v>
      </c>
    </row>
    <row r="21" spans="1:16" ht="12.75">
      <c r="A21" s="10">
        <f>+'CC Summary'!A24</f>
        <v>39813</v>
      </c>
      <c r="B21" s="92">
        <f>SUM('CP Summary:Finance Summary'!B24)</f>
        <v>0</v>
      </c>
      <c r="C21" s="92">
        <f>SUM('CP Summary:Finance Summary'!C24)</f>
        <v>71.25</v>
      </c>
      <c r="D21" s="92">
        <f>SUM('CP Summary:Finance Summary'!D24)</f>
        <v>339</v>
      </c>
      <c r="E21" s="92">
        <f>SUM('CP Summary:Finance Summary'!E24)</f>
        <v>122.25</v>
      </c>
      <c r="F21" s="92">
        <f>SUM('CP Summary:Finance Summary'!F24)</f>
        <v>329.7</v>
      </c>
      <c r="G21" s="92">
        <f>SUM('CP Summary:Finance Summary'!G24)</f>
        <v>56.25</v>
      </c>
      <c r="H21" s="92">
        <f>SUM('CP Summary:Finance Summary'!H24)</f>
        <v>123</v>
      </c>
      <c r="I21" s="92">
        <f>SUM('CP Summary:Finance Summary'!I24)</f>
        <v>12</v>
      </c>
      <c r="J21" s="92">
        <f>SUM('CP Summary:Finance Summary'!J24)</f>
        <v>211.5</v>
      </c>
      <c r="K21" s="92">
        <f>SUM('CP Summary:Finance Summary'!K24)</f>
        <v>66.5</v>
      </c>
      <c r="L21" s="92">
        <f>SUM('CP Summary:Finance Summary'!L24)</f>
        <v>2</v>
      </c>
      <c r="M21" s="92">
        <f>SUM('CP Summary:Finance Summary'!M24)</f>
        <v>84.5</v>
      </c>
      <c r="N21" s="92">
        <f>SUM('CP Summary:Finance Summary'!N24)</f>
        <v>0</v>
      </c>
      <c r="O21" s="92">
        <f>SUM('CP Summary:Finance Summary'!O24)</f>
        <v>15.5</v>
      </c>
      <c r="P21" s="92">
        <f>SUM('CP Summary:Finance Summary'!P24)</f>
        <v>1593</v>
      </c>
    </row>
    <row r="22" spans="1:16" ht="12.75">
      <c r="A22" s="10">
        <v>39828</v>
      </c>
      <c r="B22" s="92">
        <f>SUM('CP Summary:Finance Summary'!B25)</f>
        <v>0</v>
      </c>
      <c r="C22" s="92">
        <f>SUM('CP Summary:Finance Summary'!C25)</f>
        <v>83.25</v>
      </c>
      <c r="D22" s="92">
        <f>SUM('CP Summary:Finance Summary'!D25)</f>
        <v>388.5</v>
      </c>
      <c r="E22" s="92">
        <f>SUM('CP Summary:Finance Summary'!E25)</f>
        <v>132.25</v>
      </c>
      <c r="F22" s="92">
        <f>SUM('CP Summary:Finance Summary'!F25)</f>
        <v>192.75</v>
      </c>
      <c r="G22" s="92">
        <f>SUM('CP Summary:Finance Summary'!G25)</f>
        <v>27.75</v>
      </c>
      <c r="H22" s="92">
        <f>SUM('CP Summary:Finance Summary'!H25)</f>
        <v>90.25</v>
      </c>
      <c r="I22" s="92">
        <f>SUM('CP Summary:Finance Summary'!I25)</f>
        <v>19.5</v>
      </c>
      <c r="J22" s="92">
        <f>SUM('CP Summary:Finance Summary'!J25)</f>
        <v>173.75</v>
      </c>
      <c r="K22" s="92">
        <f>SUM('CP Summary:Finance Summary'!K25)</f>
        <v>63.75</v>
      </c>
      <c r="L22" s="92">
        <f>SUM('CP Summary:Finance Summary'!L25)</f>
        <v>0</v>
      </c>
      <c r="M22" s="92">
        <f>SUM('CP Summary:Finance Summary'!M25)</f>
        <v>20.5</v>
      </c>
      <c r="N22" s="92">
        <f>SUM('CP Summary:Finance Summary'!N25)</f>
        <v>1</v>
      </c>
      <c r="O22" s="92">
        <f>SUM('CP Summary:Finance Summary'!O25)</f>
        <v>10</v>
      </c>
      <c r="P22" s="92">
        <f>SUM('CP Summary:Finance Summary'!P25)</f>
        <v>1305</v>
      </c>
    </row>
    <row r="23" spans="1:16" ht="12.75">
      <c r="A23" s="10">
        <v>39844</v>
      </c>
      <c r="B23" s="92">
        <f>SUM('CP Summary:Finance Summary'!B26)</f>
        <v>0</v>
      </c>
      <c r="C23" s="92">
        <f>SUM('CP Summary:Finance Summary'!C26)</f>
        <v>104.25</v>
      </c>
      <c r="D23" s="92">
        <f>SUM('CP Summary:Finance Summary'!D26)</f>
        <v>207.25</v>
      </c>
      <c r="E23" s="92">
        <f>SUM('CP Summary:Finance Summary'!E26)</f>
        <v>132.75</v>
      </c>
      <c r="F23" s="92">
        <f>SUM('CP Summary:Finance Summary'!F26)</f>
        <v>191</v>
      </c>
      <c r="G23" s="92">
        <f>SUM('CP Summary:Finance Summary'!G26)</f>
        <v>54.5</v>
      </c>
      <c r="H23" s="92">
        <f>SUM('CP Summary:Finance Summary'!H26)</f>
        <v>119.25</v>
      </c>
      <c r="I23" s="92">
        <f>SUM('CP Summary:Finance Summary'!I26)</f>
        <v>21.25</v>
      </c>
      <c r="J23" s="92">
        <f>SUM('CP Summary:Finance Summary'!J26)</f>
        <v>197.75</v>
      </c>
      <c r="K23" s="92">
        <f>SUM('CP Summary:Finance Summary'!K26)</f>
        <v>76.75</v>
      </c>
      <c r="L23" s="92">
        <f>SUM('CP Summary:Finance Summary'!L26)</f>
        <v>0</v>
      </c>
      <c r="M23" s="92">
        <f>SUM('CP Summary:Finance Summary'!M26)</f>
        <v>35.5</v>
      </c>
      <c r="N23" s="92">
        <f>SUM('CP Summary:Finance Summary'!N26)</f>
        <v>1</v>
      </c>
      <c r="O23" s="92">
        <f>SUM('CP Summary:Finance Summary'!O26)</f>
        <v>25</v>
      </c>
      <c r="P23" s="92">
        <f>SUM('CP Summary:Finance Summary'!P26)</f>
        <v>1297.5</v>
      </c>
    </row>
    <row r="24" spans="1:16" ht="12.75">
      <c r="A24" s="10">
        <v>39859</v>
      </c>
      <c r="B24" s="92">
        <f>SUM('CP Summary:Finance Summary'!B27)</f>
        <v>0</v>
      </c>
      <c r="C24" s="92">
        <f>SUM('CP Summary:Finance Summary'!C27)</f>
        <v>113</v>
      </c>
      <c r="D24" s="92">
        <f>SUM('CP Summary:Finance Summary'!D27)</f>
        <v>4.5</v>
      </c>
      <c r="E24" s="92">
        <f>SUM('CP Summary:Finance Summary'!E27)</f>
        <v>156.5</v>
      </c>
      <c r="F24" s="92">
        <f>SUM('CP Summary:Finance Summary'!F27)</f>
        <v>202.5</v>
      </c>
      <c r="G24" s="92">
        <f>SUM('CP Summary:Finance Summary'!G27)</f>
        <v>15.25</v>
      </c>
      <c r="H24" s="92">
        <f>SUM('CP Summary:Finance Summary'!H27)</f>
        <v>203.5</v>
      </c>
      <c r="I24" s="92">
        <f>SUM('CP Summary:Finance Summary'!I27)</f>
        <v>9.5</v>
      </c>
      <c r="J24" s="92">
        <f>SUM('CP Summary:Finance Summary'!J27)</f>
        <v>214.25</v>
      </c>
      <c r="K24" s="92">
        <f>SUM('CP Summary:Finance Summary'!K27)</f>
        <v>76.5</v>
      </c>
      <c r="L24" s="92">
        <f>SUM('CP Summary:Finance Summary'!L27)</f>
        <v>2.5</v>
      </c>
      <c r="M24" s="92">
        <f>SUM('CP Summary:Finance Summary'!M27)</f>
        <v>36.75</v>
      </c>
      <c r="N24" s="92">
        <f>SUM('CP Summary:Finance Summary'!N27)</f>
        <v>0</v>
      </c>
      <c r="O24" s="92">
        <f>SUM('CP Summary:Finance Summary'!O27)</f>
        <v>5.5</v>
      </c>
      <c r="P24" s="92">
        <f>SUM('CP Summary:Finance Summary'!P27)</f>
        <v>1204</v>
      </c>
    </row>
    <row r="25" spans="1:16" ht="12.75">
      <c r="A25" s="10">
        <v>39872</v>
      </c>
      <c r="B25" s="92">
        <f>SUM('CP Summary:Finance Summary'!B28)</f>
        <v>0</v>
      </c>
      <c r="C25" s="92">
        <f>SUM('CP Summary:Finance Summary'!C28)</f>
        <v>80</v>
      </c>
      <c r="D25" s="92">
        <f>SUM('CP Summary:Finance Summary'!D28)</f>
        <v>151</v>
      </c>
      <c r="E25" s="92">
        <f>SUM('CP Summary:Finance Summary'!E28)</f>
        <v>97.25</v>
      </c>
      <c r="F25" s="92">
        <f>SUM('CP Summary:Finance Summary'!F28)</f>
        <v>214.25</v>
      </c>
      <c r="G25" s="92">
        <f>SUM('CP Summary:Finance Summary'!G28)</f>
        <v>40.5</v>
      </c>
      <c r="H25" s="92">
        <f>SUM('CP Summary:Finance Summary'!H28)</f>
        <v>105.25</v>
      </c>
      <c r="I25" s="92">
        <f>SUM('CP Summary:Finance Summary'!I28)</f>
        <v>31.5</v>
      </c>
      <c r="J25" s="92">
        <f>SUM('CP Summary:Finance Summary'!J28)</f>
        <v>223.75</v>
      </c>
      <c r="K25" s="92">
        <f>SUM('CP Summary:Finance Summary'!K28)</f>
        <v>110.25</v>
      </c>
      <c r="L25" s="92">
        <f>SUM('CP Summary:Finance Summary'!L28)</f>
        <v>0</v>
      </c>
      <c r="M25" s="92">
        <f>SUM('CP Summary:Finance Summary'!M28)</f>
        <v>38.5</v>
      </c>
      <c r="N25" s="92">
        <f>SUM('CP Summary:Finance Summary'!N28)</f>
        <v>0</v>
      </c>
      <c r="O25" s="92">
        <f>SUM('CP Summary:Finance Summary'!O28)</f>
        <v>5</v>
      </c>
      <c r="P25" s="92">
        <f>SUM('CP Summary:Finance Summary'!P28)</f>
        <v>1190.5</v>
      </c>
    </row>
    <row r="26" spans="1:16" ht="12.75">
      <c r="A26" s="10">
        <v>39887</v>
      </c>
      <c r="B26" s="92">
        <f>SUM('CP Summary:Finance Summary'!B29)</f>
        <v>0</v>
      </c>
      <c r="C26" s="92">
        <f>SUM('CP Summary:Finance Summary'!C29)</f>
        <v>45.5</v>
      </c>
      <c r="D26" s="92">
        <f>SUM('CP Summary:Finance Summary'!D29)</f>
        <v>117</v>
      </c>
      <c r="E26" s="92">
        <f>SUM('CP Summary:Finance Summary'!E29)</f>
        <v>59</v>
      </c>
      <c r="F26" s="92">
        <f>SUM('CP Summary:Finance Summary'!F29)</f>
        <v>217.75</v>
      </c>
      <c r="G26" s="92">
        <f>SUM('CP Summary:Finance Summary'!G29)</f>
        <v>41.5</v>
      </c>
      <c r="H26" s="92">
        <f>SUM('CP Summary:Finance Summary'!H29)</f>
        <v>158</v>
      </c>
      <c r="I26" s="92">
        <f>SUM('CP Summary:Finance Summary'!I29)</f>
        <v>44</v>
      </c>
      <c r="J26" s="92">
        <f>SUM('CP Summary:Finance Summary'!J29)</f>
        <v>218.25</v>
      </c>
      <c r="K26" s="92">
        <f>SUM('CP Summary:Finance Summary'!K29)</f>
        <v>103.75</v>
      </c>
      <c r="L26" s="92">
        <f>SUM('CP Summary:Finance Summary'!L29)</f>
        <v>0</v>
      </c>
      <c r="M26" s="92">
        <f>SUM('CP Summary:Finance Summary'!M29)</f>
        <v>44.75</v>
      </c>
      <c r="N26" s="92">
        <f>SUM('CP Summary:Finance Summary'!N29)</f>
        <v>0</v>
      </c>
      <c r="O26" s="92">
        <f>SUM('CP Summary:Finance Summary'!O29)</f>
        <v>31.5</v>
      </c>
      <c r="P26" s="92">
        <f>SUM('CP Summary:Finance Summary'!P29)</f>
        <v>1185</v>
      </c>
    </row>
    <row r="27" spans="1:16" ht="12.75">
      <c r="A27" s="10">
        <v>39903</v>
      </c>
      <c r="B27" s="92">
        <f>SUM('CP Summary:Finance Summary'!B30)</f>
        <v>0</v>
      </c>
      <c r="C27" s="92">
        <f>SUM('CP Summary:Finance Summary'!C30)</f>
        <v>73.75</v>
      </c>
      <c r="D27" s="92">
        <f>SUM('CP Summary:Finance Summary'!D30)</f>
        <v>211.5</v>
      </c>
      <c r="E27" s="92">
        <f>SUM('CP Summary:Finance Summary'!E30)</f>
        <v>52.75</v>
      </c>
      <c r="F27" s="92">
        <f>SUM('CP Summary:Finance Summary'!F30)</f>
        <v>218</v>
      </c>
      <c r="G27" s="92">
        <f>SUM('CP Summary:Finance Summary'!G30)</f>
        <v>19.75</v>
      </c>
      <c r="H27" s="92">
        <f>SUM('CP Summary:Finance Summary'!H30)</f>
        <v>210.25</v>
      </c>
      <c r="I27" s="92">
        <f>SUM('CP Summary:Finance Summary'!I30)</f>
        <v>58</v>
      </c>
      <c r="J27" s="92">
        <f>SUM('CP Summary:Finance Summary'!J30)</f>
        <v>266.75</v>
      </c>
      <c r="K27" s="92">
        <f>SUM('CP Summary:Finance Summary'!K30)</f>
        <v>82.75</v>
      </c>
      <c r="L27" s="92">
        <f>SUM('CP Summary:Finance Summary'!L30)</f>
        <v>0</v>
      </c>
      <c r="M27" s="92">
        <f>SUM('CP Summary:Finance Summary'!M30)</f>
        <v>16.5</v>
      </c>
      <c r="N27" s="92">
        <f>SUM('CP Summary:Finance Summary'!N30)</f>
        <v>0</v>
      </c>
      <c r="O27" s="92">
        <f>SUM('CP Summary:Finance Summary'!O30)</f>
        <v>45</v>
      </c>
      <c r="P27" s="92">
        <f>SUM('CP Summary:Finance Summary'!P30)</f>
        <v>1380</v>
      </c>
    </row>
    <row r="28" spans="1:16" ht="12.75">
      <c r="A28" s="10">
        <v>39918</v>
      </c>
      <c r="B28" s="92">
        <f>SUM('CP Summary:Finance Summary'!B31)</f>
        <v>0</v>
      </c>
      <c r="C28" s="92">
        <f>SUM('CP Summary:Finance Summary'!C31)</f>
        <v>57.5</v>
      </c>
      <c r="D28" s="92">
        <f>SUM('CP Summary:Finance Summary'!D31)</f>
        <v>110</v>
      </c>
      <c r="E28" s="92">
        <f>SUM('CP Summary:Finance Summary'!E31)</f>
        <v>71.75</v>
      </c>
      <c r="F28" s="92">
        <f>SUM('CP Summary:Finance Summary'!F31)</f>
        <v>192</v>
      </c>
      <c r="G28" s="92">
        <f>SUM('CP Summary:Finance Summary'!G31)</f>
        <v>30.75</v>
      </c>
      <c r="H28" s="92">
        <f>SUM('CP Summary:Finance Summary'!H31)</f>
        <v>180.25</v>
      </c>
      <c r="I28" s="92">
        <f>SUM('CP Summary:Finance Summary'!I31)</f>
        <v>18</v>
      </c>
      <c r="J28" s="92">
        <f>SUM('CP Summary:Finance Summary'!J31)</f>
        <v>275.125</v>
      </c>
      <c r="K28" s="92">
        <f>SUM('CP Summary:Finance Summary'!K31)</f>
        <v>107.625</v>
      </c>
      <c r="L28" s="92">
        <f>SUM('CP Summary:Finance Summary'!L31)</f>
        <v>0</v>
      </c>
      <c r="M28" s="92">
        <f>SUM('CP Summary:Finance Summary'!M31)</f>
        <v>66</v>
      </c>
      <c r="N28" s="92">
        <f>SUM('CP Summary:Finance Summary'!N31)</f>
        <v>0</v>
      </c>
      <c r="O28" s="92">
        <f>SUM('CP Summary:Finance Summary'!O31)</f>
        <v>54.5</v>
      </c>
      <c r="P28" s="92">
        <f>SUM('CP Summary:Finance Summary'!P31)</f>
        <v>1327.5</v>
      </c>
    </row>
    <row r="29" spans="1:16" ht="12.75">
      <c r="A29" s="10">
        <v>39933</v>
      </c>
      <c r="B29" s="92">
        <f>SUM('CP Summary:Finance Summary'!B32)</f>
        <v>0</v>
      </c>
      <c r="C29" s="92">
        <f>SUM('CP Summary:Finance Summary'!C32)</f>
        <v>71.25</v>
      </c>
      <c r="D29" s="92">
        <f>SUM('CP Summary:Finance Summary'!D32)</f>
        <v>33.75</v>
      </c>
      <c r="E29" s="92">
        <f>SUM('CP Summary:Finance Summary'!E32)</f>
        <v>102</v>
      </c>
      <c r="F29" s="92">
        <f>SUM('CP Summary:Finance Summary'!F32)</f>
        <v>107.75</v>
      </c>
      <c r="G29" s="92">
        <f>SUM('CP Summary:Finance Summary'!G32)</f>
        <v>53.25</v>
      </c>
      <c r="H29" s="92">
        <f>SUM('CP Summary:Finance Summary'!H32)</f>
        <v>122</v>
      </c>
      <c r="I29" s="92">
        <f>SUM('CP Summary:Finance Summary'!I32)</f>
        <v>43.75</v>
      </c>
      <c r="J29" s="92">
        <f>SUM('CP Summary:Finance Summary'!J32)</f>
        <v>225.25</v>
      </c>
      <c r="K29" s="92">
        <f>SUM('CP Summary:Finance Summary'!K32)</f>
        <v>144.5</v>
      </c>
      <c r="L29" s="92">
        <f>SUM('CP Summary:Finance Summary'!L32)</f>
        <v>2</v>
      </c>
      <c r="M29" s="92">
        <f>SUM('CP Summary:Finance Summary'!M32)</f>
        <v>15.75</v>
      </c>
      <c r="N29" s="92">
        <f>SUM('CP Summary:Finance Summary'!N32)</f>
        <v>0.75</v>
      </c>
      <c r="O29" s="92">
        <f>SUM('CP Summary:Finance Summary'!O32)</f>
        <v>11.25</v>
      </c>
      <c r="P29" s="92">
        <f>SUM('CP Summary:Finance Summary'!P32)</f>
        <v>1072.5</v>
      </c>
    </row>
    <row r="30" spans="3:16" ht="13.5" thickBot="1">
      <c r="C30" s="93">
        <f>SUM(C6:C29)</f>
        <v>1928.5</v>
      </c>
      <c r="D30" s="93">
        <f aca="true" t="shared" si="0" ref="D30:O30">SUM(D6:D29)</f>
        <v>4146</v>
      </c>
      <c r="E30" s="93">
        <f t="shared" si="0"/>
        <v>3501</v>
      </c>
      <c r="F30" s="93">
        <f>SUM(F6:F29)</f>
        <v>4810.95</v>
      </c>
      <c r="G30" s="93">
        <f t="shared" si="0"/>
        <v>1775.25</v>
      </c>
      <c r="H30" s="93">
        <f t="shared" si="0"/>
        <v>2654</v>
      </c>
      <c r="I30" s="93">
        <f t="shared" si="0"/>
        <v>566.5</v>
      </c>
      <c r="J30" s="93">
        <f t="shared" si="0"/>
        <v>5999.825</v>
      </c>
      <c r="K30" s="93">
        <f t="shared" si="0"/>
        <v>1829.625</v>
      </c>
      <c r="L30" s="93">
        <f t="shared" si="0"/>
        <v>43.5</v>
      </c>
      <c r="M30" s="93">
        <f t="shared" si="0"/>
        <v>1084.5</v>
      </c>
      <c r="N30" s="93">
        <f t="shared" si="0"/>
        <v>48.25</v>
      </c>
      <c r="O30" s="93">
        <f t="shared" si="0"/>
        <v>430.5</v>
      </c>
      <c r="P30" s="93">
        <f>SUM(P6:P29)</f>
        <v>31900.5</v>
      </c>
    </row>
    <row r="31" ht="13.5" thickTop="1"/>
    <row r="32" spans="1:16" ht="12.75">
      <c r="A32" t="s">
        <v>239</v>
      </c>
      <c r="F32" s="92">
        <f>+F30</f>
        <v>4810.95</v>
      </c>
      <c r="G32" s="92">
        <f aca="true" t="shared" si="1" ref="G32:N32">+G30</f>
        <v>1775.25</v>
      </c>
      <c r="H32" s="92">
        <f t="shared" si="1"/>
        <v>2654</v>
      </c>
      <c r="I32" s="92">
        <f t="shared" si="1"/>
        <v>566.5</v>
      </c>
      <c r="J32" s="92">
        <f t="shared" si="1"/>
        <v>5999.825</v>
      </c>
      <c r="K32" s="92">
        <f t="shared" si="1"/>
        <v>1829.625</v>
      </c>
      <c r="L32" s="92">
        <f t="shared" si="1"/>
        <v>43.5</v>
      </c>
      <c r="M32" s="92">
        <f t="shared" si="1"/>
        <v>1084.5</v>
      </c>
      <c r="N32" s="92">
        <f t="shared" si="1"/>
        <v>48.25</v>
      </c>
      <c r="O32" s="92"/>
      <c r="P32" s="92">
        <f>SUM(F32:N32)</f>
        <v>18812.4</v>
      </c>
    </row>
    <row r="33" spans="6:16" ht="13.5" thickBot="1">
      <c r="F33" s="15">
        <f>F32/$P$32</f>
        <v>0.2557329208394463</v>
      </c>
      <c r="G33" s="15">
        <f aca="true" t="shared" si="2" ref="G33:N33">G32/$P$32</f>
        <v>0.09436595011800726</v>
      </c>
      <c r="H33" s="15">
        <f t="shared" si="2"/>
        <v>0.1410771618719568</v>
      </c>
      <c r="I33" s="15">
        <f t="shared" si="2"/>
        <v>0.03011311688035551</v>
      </c>
      <c r="J33" s="15">
        <f t="shared" si="2"/>
        <v>0.31892927005592053</v>
      </c>
      <c r="K33" s="15">
        <f t="shared" si="2"/>
        <v>0.09725633093066274</v>
      </c>
      <c r="L33" s="15">
        <f t="shared" si="2"/>
        <v>0.002312304650124386</v>
      </c>
      <c r="M33" s="15">
        <f t="shared" si="2"/>
        <v>0.05764814696689417</v>
      </c>
      <c r="N33" s="15">
        <f t="shared" si="2"/>
        <v>0.0025647976866322213</v>
      </c>
      <c r="O33" s="15"/>
      <c r="P33" s="15">
        <f>SUM(F33:N33)</f>
        <v>0.9999999999999999</v>
      </c>
    </row>
    <row r="34" ht="13.5" thickTop="1"/>
  </sheetData>
  <sheetProtection/>
  <printOptions/>
  <pageMargins left="0.5" right="0.5" top="0.5" bottom="0.5" header="0.5" footer="0.5"/>
  <pageSetup fitToHeight="1" fitToWidth="1" horizontalDpi="600" verticalDpi="600" orientation="landscape" scale="73" r:id="rId1"/>
  <headerFooter alignWithMargins="0">
    <oddFooter>&amp;ROrder U-08-xxx(1)/P-08-xxx(1)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M38"/>
  <sheetViews>
    <sheetView zoomScalePageLayoutView="0" workbookViewId="0" topLeftCell="B10">
      <selection activeCell="J27" sqref="J27"/>
    </sheetView>
  </sheetViews>
  <sheetFormatPr defaultColWidth="9.140625" defaultRowHeight="12.75"/>
  <cols>
    <col min="1" max="1" width="20.00390625" style="0" bestFit="1" customWidth="1"/>
    <col min="2" max="2" width="12.00390625" style="0" bestFit="1" customWidth="1"/>
    <col min="3" max="5" width="11.8515625" style="0" customWidth="1"/>
    <col min="6" max="6" width="12.00390625" style="0" bestFit="1" customWidth="1"/>
    <col min="7" max="7" width="11.8515625" style="0" bestFit="1" customWidth="1"/>
    <col min="8" max="8" width="12.00390625" style="0" bestFit="1" customWidth="1"/>
    <col min="9" max="9" width="12.28125" style="0" bestFit="1" customWidth="1"/>
    <col min="10" max="10" width="12.00390625" style="0" customWidth="1"/>
    <col min="11" max="11" width="11.7109375" style="0" bestFit="1" customWidth="1"/>
  </cols>
  <sheetData>
    <row r="25" spans="8:12" ht="12.75">
      <c r="H25" s="95"/>
      <c r="I25" s="95"/>
      <c r="J25" s="95"/>
      <c r="K25" s="95" t="str">
        <f>I26&amp;"-"&amp;J26</f>
        <v>2007-2008</v>
      </c>
      <c r="L25" s="95" t="str">
        <f>+K25</f>
        <v>2007-2008</v>
      </c>
    </row>
    <row r="26" spans="1:12" ht="12.75">
      <c r="A26" s="17"/>
      <c r="B26" s="96">
        <v>2000</v>
      </c>
      <c r="C26" s="96">
        <v>2001</v>
      </c>
      <c r="D26" s="96">
        <v>2002</v>
      </c>
      <c r="E26" s="96">
        <v>2003</v>
      </c>
      <c r="F26" s="96">
        <v>2004</v>
      </c>
      <c r="G26" s="96">
        <v>2005</v>
      </c>
      <c r="H26" s="96">
        <v>2006</v>
      </c>
      <c r="I26" s="96">
        <v>2007</v>
      </c>
      <c r="J26" s="96">
        <v>2008</v>
      </c>
      <c r="K26" s="96" t="s">
        <v>127</v>
      </c>
      <c r="L26" s="96" t="s">
        <v>128</v>
      </c>
    </row>
    <row r="27" spans="1:13" ht="12.75">
      <c r="A27" s="17" t="s">
        <v>14</v>
      </c>
      <c r="B27" s="97">
        <v>208935227</v>
      </c>
      <c r="C27" s="97">
        <v>202390159</v>
      </c>
      <c r="D27" s="97">
        <v>188815071.54000002</v>
      </c>
      <c r="E27" s="97">
        <v>204101135</v>
      </c>
      <c r="F27" s="97">
        <v>266878501.61943612</v>
      </c>
      <c r="G27" s="97">
        <v>265629941.2059197</v>
      </c>
      <c r="H27" s="97">
        <v>277991690</v>
      </c>
      <c r="I27" s="165">
        <v>314333655</v>
      </c>
      <c r="J27" s="272">
        <f>'Appendix A'!D6</f>
        <v>330249427.40793383</v>
      </c>
      <c r="K27" s="273">
        <f>+J27-I27</f>
        <v>15915772.407933831</v>
      </c>
      <c r="L27" s="98">
        <f aca="true" t="shared" si="0" ref="L27:L36">+K27/G27</f>
        <v>0.05991708741747498</v>
      </c>
      <c r="M27" s="99"/>
    </row>
    <row r="28" spans="1:13" ht="12.75">
      <c r="A28" s="17" t="s">
        <v>15</v>
      </c>
      <c r="B28" s="17">
        <v>99580257</v>
      </c>
      <c r="C28" s="17">
        <v>117028009.91</v>
      </c>
      <c r="D28" s="17">
        <v>115555685</v>
      </c>
      <c r="E28" s="17">
        <v>122376228</v>
      </c>
      <c r="F28" s="17">
        <v>146107442</v>
      </c>
      <c r="G28" s="17">
        <v>166149131</v>
      </c>
      <c r="H28" s="17">
        <v>210067813</v>
      </c>
      <c r="I28" s="165">
        <v>290562890</v>
      </c>
      <c r="J28" s="274">
        <f>'Appendix A'!E6</f>
        <v>314095536</v>
      </c>
      <c r="K28" s="273">
        <f aca="true" t="shared" si="1" ref="K28:K36">+J28-I28</f>
        <v>23532646</v>
      </c>
      <c r="L28" s="98">
        <f t="shared" si="0"/>
        <v>0.14163568511231034</v>
      </c>
      <c r="M28" s="99"/>
    </row>
    <row r="29" spans="1:13" ht="12.75">
      <c r="A29" s="17" t="s">
        <v>27</v>
      </c>
      <c r="B29" s="17">
        <v>68505740</v>
      </c>
      <c r="C29" s="17">
        <v>69651830.09</v>
      </c>
      <c r="D29" s="17">
        <v>72656850.60298808</v>
      </c>
      <c r="E29" s="17">
        <v>74115336</v>
      </c>
      <c r="F29" s="17">
        <v>80247568</v>
      </c>
      <c r="G29" s="17">
        <v>86219552.83501683</v>
      </c>
      <c r="H29" s="17">
        <v>84649997</v>
      </c>
      <c r="I29" s="165">
        <v>100936398</v>
      </c>
      <c r="J29" s="272">
        <f>'Appendix A'!F6</f>
        <v>104184954</v>
      </c>
      <c r="K29" s="273">
        <f t="shared" si="1"/>
        <v>3248556</v>
      </c>
      <c r="L29" s="98">
        <f>+K29/G29</f>
        <v>0.03767771802547143</v>
      </c>
      <c r="M29" s="99"/>
    </row>
    <row r="30" spans="1:13" ht="12.75">
      <c r="A30" s="17" t="s">
        <v>17</v>
      </c>
      <c r="B30" s="17">
        <v>33078302</v>
      </c>
      <c r="C30" s="17">
        <v>33342327</v>
      </c>
      <c r="D30" s="17">
        <v>33986552</v>
      </c>
      <c r="E30" s="17">
        <v>34231867.75</v>
      </c>
      <c r="F30" s="17">
        <v>39354115.85961488</v>
      </c>
      <c r="G30" s="17">
        <v>47385734.34445493</v>
      </c>
      <c r="H30" s="17">
        <v>41219375</v>
      </c>
      <c r="I30" s="165">
        <v>43504506</v>
      </c>
      <c r="J30" s="274">
        <f>'Appendix A'!G6</f>
        <v>53699865</v>
      </c>
      <c r="K30" s="273">
        <f t="shared" si="1"/>
        <v>10195359</v>
      </c>
      <c r="L30" s="98">
        <f t="shared" si="0"/>
        <v>0.21515671627853666</v>
      </c>
      <c r="M30" s="99"/>
    </row>
    <row r="31" spans="1:13" ht="12.75">
      <c r="A31" s="17" t="s">
        <v>28</v>
      </c>
      <c r="B31" s="17">
        <v>144994328.37</v>
      </c>
      <c r="C31" s="17">
        <v>148676227.44</v>
      </c>
      <c r="D31" s="17">
        <v>154350298.35752788</v>
      </c>
      <c r="E31" s="17">
        <v>133843681.56</v>
      </c>
      <c r="F31" s="17">
        <v>129179673</v>
      </c>
      <c r="G31" s="17">
        <v>122243949.8959605</v>
      </c>
      <c r="H31" s="17">
        <v>113003595</v>
      </c>
      <c r="I31" s="165">
        <v>118893994</v>
      </c>
      <c r="J31" s="274">
        <f>'Appendix A'!H6</f>
        <v>114976325</v>
      </c>
      <c r="K31" s="273">
        <f t="shared" si="1"/>
        <v>-3917669</v>
      </c>
      <c r="L31" s="98">
        <f t="shared" si="0"/>
        <v>-0.03204795822888784</v>
      </c>
      <c r="M31" s="99"/>
    </row>
    <row r="32" spans="1:13" ht="12.75">
      <c r="A32" s="17" t="s">
        <v>29</v>
      </c>
      <c r="B32" s="17">
        <v>81077875</v>
      </c>
      <c r="C32" s="17">
        <v>69825704.45</v>
      </c>
      <c r="D32" s="17">
        <v>61454518.05509644</v>
      </c>
      <c r="E32" s="17">
        <v>48094298</v>
      </c>
      <c r="F32" s="17">
        <v>40608884.8863728</v>
      </c>
      <c r="G32" s="17">
        <v>41585500.259843886</v>
      </c>
      <c r="H32" s="17">
        <v>39174560</v>
      </c>
      <c r="I32" s="165">
        <v>40802167</v>
      </c>
      <c r="J32" s="274">
        <f>'Appendix A'!I6</f>
        <v>43946351</v>
      </c>
      <c r="K32" s="273">
        <f t="shared" si="1"/>
        <v>3144184</v>
      </c>
      <c r="L32" s="100">
        <f t="shared" si="0"/>
        <v>0.07560769932677981</v>
      </c>
      <c r="M32" s="99"/>
    </row>
    <row r="33" spans="1:13" ht="12.75">
      <c r="A33" s="17" t="s">
        <v>20</v>
      </c>
      <c r="B33" s="17">
        <v>1405061</v>
      </c>
      <c r="C33" s="17">
        <v>1818000</v>
      </c>
      <c r="D33" s="17">
        <v>1910517.5012583986</v>
      </c>
      <c r="E33" s="17">
        <v>1913940</v>
      </c>
      <c r="F33" s="17">
        <v>1843000</v>
      </c>
      <c r="G33" s="17">
        <v>1788000</v>
      </c>
      <c r="H33" s="17">
        <v>1800764</v>
      </c>
      <c r="I33" s="165">
        <v>1752000</v>
      </c>
      <c r="J33" s="274">
        <f>'Appendix A'!J6</f>
        <v>1731582</v>
      </c>
      <c r="K33" s="273">
        <f t="shared" si="1"/>
        <v>-20418</v>
      </c>
      <c r="L33" s="98">
        <f t="shared" si="0"/>
        <v>-0.011419463087248323</v>
      </c>
      <c r="M33" s="99"/>
    </row>
    <row r="34" spans="1:13" ht="12.75">
      <c r="A34" s="17" t="s">
        <v>21</v>
      </c>
      <c r="B34" s="17">
        <v>84776887</v>
      </c>
      <c r="C34" s="17">
        <v>113271196</v>
      </c>
      <c r="D34" s="17">
        <v>157992903.50078613</v>
      </c>
      <c r="E34" s="17">
        <v>152369024</v>
      </c>
      <c r="F34" s="17">
        <v>141071376.7</v>
      </c>
      <c r="G34" s="17">
        <v>131842273.56107406</v>
      </c>
      <c r="H34" s="17">
        <v>144835682</v>
      </c>
      <c r="I34" s="165">
        <v>116235408</v>
      </c>
      <c r="J34" s="274">
        <f>'Appendix A'!K6</f>
        <v>152420287</v>
      </c>
      <c r="K34" s="273">
        <f t="shared" si="1"/>
        <v>36184879</v>
      </c>
      <c r="L34" s="100">
        <f t="shared" si="0"/>
        <v>0.27445581771796335</v>
      </c>
      <c r="M34" s="99"/>
    </row>
    <row r="35" spans="1:13" ht="12.75">
      <c r="A35" s="17" t="s">
        <v>30</v>
      </c>
      <c r="B35" s="17">
        <v>1540413</v>
      </c>
      <c r="C35" s="17">
        <v>1895793</v>
      </c>
      <c r="D35" s="17">
        <v>2016080</v>
      </c>
      <c r="E35" s="17">
        <v>2196999</v>
      </c>
      <c r="F35" s="17">
        <v>2444316</v>
      </c>
      <c r="G35" s="17">
        <v>2586594</v>
      </c>
      <c r="H35" s="17">
        <v>3066157</v>
      </c>
      <c r="I35" s="165">
        <v>3245835</v>
      </c>
      <c r="J35" s="274">
        <f>'Appendix A'!L6</f>
        <v>13502177</v>
      </c>
      <c r="K35" s="273">
        <f t="shared" si="1"/>
        <v>10256342</v>
      </c>
      <c r="L35" s="98">
        <f t="shared" si="0"/>
        <v>3.965192063385286</v>
      </c>
      <c r="M35" s="99"/>
    </row>
    <row r="36" spans="1:13" ht="13.5" thickBot="1">
      <c r="A36" s="17" t="s">
        <v>237</v>
      </c>
      <c r="B36" s="101">
        <f aca="true" t="shared" si="2" ref="B36:J36">SUM(B27:B35)</f>
        <v>723894090.37</v>
      </c>
      <c r="C36" s="101">
        <f t="shared" si="2"/>
        <v>757899246.8900001</v>
      </c>
      <c r="D36" s="101">
        <f t="shared" si="2"/>
        <v>788738476.5576568</v>
      </c>
      <c r="E36" s="101">
        <f t="shared" si="2"/>
        <v>773242509.31</v>
      </c>
      <c r="F36" s="101">
        <f t="shared" si="2"/>
        <v>847734878.0654237</v>
      </c>
      <c r="G36" s="101">
        <f t="shared" si="2"/>
        <v>865430677.1022699</v>
      </c>
      <c r="H36" s="101">
        <f t="shared" si="2"/>
        <v>915809633</v>
      </c>
      <c r="I36" s="101">
        <f t="shared" si="2"/>
        <v>1030266853</v>
      </c>
      <c r="J36" s="101">
        <f t="shared" si="2"/>
        <v>1128806504.4079337</v>
      </c>
      <c r="K36" s="101">
        <f t="shared" si="1"/>
        <v>98539651.40793371</v>
      </c>
      <c r="L36" s="101">
        <f t="shared" si="0"/>
        <v>0.11386198110965398</v>
      </c>
      <c r="M36" s="99"/>
    </row>
    <row r="37" spans="2:11" ht="13.5" thickTop="1">
      <c r="B37" s="102"/>
      <c r="C37" s="102"/>
      <c r="D37" s="102"/>
      <c r="E37" s="102"/>
      <c r="F37" s="102"/>
      <c r="G37" s="103"/>
      <c r="H37" s="98"/>
      <c r="I37" s="98"/>
      <c r="J37" s="98"/>
      <c r="K37" s="99"/>
    </row>
    <row r="38" ht="12.75">
      <c r="A38" s="269" t="s">
        <v>323</v>
      </c>
    </row>
  </sheetData>
  <sheetProtection/>
  <printOptions horizontalCentered="1" verticalCentered="1"/>
  <pageMargins left="0.25" right="0.25" top="0.25" bottom="0.25" header="0.25" footer="0.25"/>
  <pageSetup fitToHeight="1" fitToWidth="1" horizontalDpi="600" verticalDpi="600" orientation="landscape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BN154"/>
  <sheetViews>
    <sheetView showGridLines="0" zoomScaleSheetLayoutView="100" zoomScalePageLayoutView="0" workbookViewId="0" topLeftCell="A118">
      <selection activeCell="D127" sqref="D127"/>
    </sheetView>
  </sheetViews>
  <sheetFormatPr defaultColWidth="11.421875" defaultRowHeight="12.75"/>
  <cols>
    <col min="1" max="1" width="2.28125" style="25" customWidth="1"/>
    <col min="2" max="2" width="2.7109375" style="25" customWidth="1"/>
    <col min="3" max="4" width="31.28125" style="25" customWidth="1"/>
    <col min="5" max="5" width="17.7109375" style="25" customWidth="1"/>
    <col min="6" max="7" width="19.57421875" style="25" customWidth="1"/>
    <col min="8" max="16384" width="11.421875" style="25" customWidth="1"/>
  </cols>
  <sheetData>
    <row r="1" ht="15.75">
      <c r="A1" s="208" t="s">
        <v>189</v>
      </c>
    </row>
    <row r="2" ht="15.75">
      <c r="A2" s="209" t="s">
        <v>190</v>
      </c>
    </row>
    <row r="3" ht="15.75">
      <c r="A3" s="181"/>
    </row>
    <row r="4" spans="1:7" ht="18">
      <c r="A4" s="23" t="s">
        <v>42</v>
      </c>
      <c r="B4" s="24"/>
      <c r="C4" s="24"/>
      <c r="D4" s="24"/>
      <c r="E4" s="24"/>
      <c r="F4" s="24"/>
      <c r="G4" s="24"/>
    </row>
    <row r="5" spans="1:7" ht="15">
      <c r="A5" s="26" t="s">
        <v>43</v>
      </c>
      <c r="B5" s="24"/>
      <c r="C5" s="24"/>
      <c r="D5" s="24"/>
      <c r="E5" s="24"/>
      <c r="F5" s="24"/>
      <c r="G5" s="24"/>
    </row>
    <row r="6" ht="27.75" customHeight="1"/>
    <row r="7" spans="1:7" ht="17.25">
      <c r="A7" s="27" t="s">
        <v>44</v>
      </c>
      <c r="B7" s="28"/>
      <c r="C7" s="28"/>
      <c r="D7" s="29"/>
      <c r="E7" s="27" t="s">
        <v>194</v>
      </c>
      <c r="F7" s="30" t="s">
        <v>45</v>
      </c>
      <c r="G7" s="31"/>
    </row>
    <row r="8" spans="1:7" ht="12.75" customHeight="1">
      <c r="A8" s="32"/>
      <c r="B8" s="33"/>
      <c r="C8" s="33"/>
      <c r="D8" s="34"/>
      <c r="E8" s="130"/>
      <c r="F8" s="138" t="s">
        <v>150</v>
      </c>
      <c r="G8" s="139" t="s">
        <v>185</v>
      </c>
    </row>
    <row r="9" spans="1:7" ht="12.75" customHeight="1">
      <c r="A9" s="27" t="s">
        <v>46</v>
      </c>
      <c r="B9" s="28"/>
      <c r="C9" s="28"/>
      <c r="D9" s="36"/>
      <c r="E9" s="28"/>
      <c r="F9" s="300" t="s">
        <v>251</v>
      </c>
      <c r="G9" s="301"/>
    </row>
    <row r="10" spans="1:7" ht="12.75" customHeight="1">
      <c r="A10" s="37"/>
      <c r="B10" s="38"/>
      <c r="C10" s="33"/>
      <c r="D10" s="33"/>
      <c r="E10" s="47"/>
      <c r="F10" s="300" t="s">
        <v>252</v>
      </c>
      <c r="G10" s="304"/>
    </row>
    <row r="11" spans="1:7" ht="12.75" customHeight="1">
      <c r="A11" s="27" t="s">
        <v>47</v>
      </c>
      <c r="B11" s="28"/>
      <c r="C11" s="28"/>
      <c r="D11" s="36"/>
      <c r="E11" s="28"/>
      <c r="F11" s="300" t="s">
        <v>253</v>
      </c>
      <c r="G11" s="304"/>
    </row>
    <row r="12" spans="1:7" ht="12.75" customHeight="1">
      <c r="A12" s="39"/>
      <c r="B12" s="40"/>
      <c r="C12" s="40"/>
      <c r="D12" s="41"/>
      <c r="E12" s="40"/>
      <c r="F12" s="302" t="s">
        <v>254</v>
      </c>
      <c r="G12" s="303"/>
    </row>
    <row r="13" spans="1:7" ht="12.75" customHeight="1">
      <c r="A13" s="27" t="s">
        <v>48</v>
      </c>
      <c r="B13" s="36"/>
      <c r="C13" s="36"/>
      <c r="D13" s="27" t="s">
        <v>49</v>
      </c>
      <c r="E13" s="27" t="s">
        <v>50</v>
      </c>
      <c r="F13" s="42" t="s">
        <v>51</v>
      </c>
      <c r="G13" s="35"/>
    </row>
    <row r="14" spans="1:7" ht="12.75" customHeight="1">
      <c r="A14" s="39"/>
      <c r="B14" s="41"/>
      <c r="C14" s="41"/>
      <c r="D14" s="39"/>
      <c r="E14" s="39"/>
      <c r="F14" s="39"/>
      <c r="G14" s="43"/>
    </row>
    <row r="15" spans="1:7" ht="12.75" customHeight="1">
      <c r="A15" s="27" t="s">
        <v>52</v>
      </c>
      <c r="B15" s="36"/>
      <c r="C15" s="36"/>
      <c r="D15" s="27" t="s">
        <v>53</v>
      </c>
      <c r="E15" s="28"/>
      <c r="F15" s="44" t="s">
        <v>54</v>
      </c>
      <c r="G15" s="31"/>
    </row>
    <row r="16" spans="1:7" ht="12.75" customHeight="1">
      <c r="A16" s="45"/>
      <c r="B16" s="46"/>
      <c r="C16" s="46"/>
      <c r="D16" s="45"/>
      <c r="E16" s="47"/>
      <c r="F16" s="45"/>
      <c r="G16" s="48"/>
    </row>
    <row r="17" ht="6.75" customHeight="1"/>
    <row r="18" spans="1:7" ht="18.75">
      <c r="A18" s="49" t="s">
        <v>55</v>
      </c>
      <c r="B18" s="24"/>
      <c r="C18" s="24"/>
      <c r="D18" s="24"/>
      <c r="E18" s="24"/>
      <c r="F18" s="24"/>
      <c r="G18" s="24"/>
    </row>
    <row r="19" ht="4.5" customHeight="1"/>
    <row r="20" spans="1:66" s="51" customFormat="1" ht="15.75">
      <c r="A20" s="50" t="s">
        <v>56</v>
      </c>
      <c r="E20" s="52" t="s">
        <v>57</v>
      </c>
      <c r="F20" s="52" t="s">
        <v>58</v>
      </c>
      <c r="G20" s="52" t="s">
        <v>59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</row>
    <row r="21" spans="1:66" s="51" customFormat="1" ht="15.75">
      <c r="A21" s="50"/>
      <c r="E21" s="52" t="s">
        <v>60</v>
      </c>
      <c r="F21" s="52" t="s">
        <v>26</v>
      </c>
      <c r="G21" s="52" t="s">
        <v>39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</row>
    <row r="22" spans="5:66" s="51" customFormat="1" ht="15.75">
      <c r="E22" s="52" t="s">
        <v>31</v>
      </c>
      <c r="F22" s="52" t="s">
        <v>61</v>
      </c>
      <c r="G22" s="52" t="s">
        <v>62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</row>
    <row r="23" spans="1:3" s="53" customFormat="1" ht="18">
      <c r="A23" s="53">
        <v>1</v>
      </c>
      <c r="B23" s="53" t="s">
        <v>63</v>
      </c>
      <c r="C23" s="54" t="s">
        <v>64</v>
      </c>
    </row>
    <row r="24" ht="8.25" customHeight="1"/>
    <row r="25" spans="3:5" ht="15">
      <c r="C25" s="25" t="s">
        <v>65</v>
      </c>
      <c r="E25" s="56"/>
    </row>
    <row r="26" ht="8.25" customHeight="1"/>
    <row r="27" spans="3:5" ht="15">
      <c r="C27" s="25" t="s">
        <v>66</v>
      </c>
      <c r="E27" s="57"/>
    </row>
    <row r="28" ht="8.25" customHeight="1"/>
    <row r="29" spans="3:66" s="54" customFormat="1" ht="18">
      <c r="C29" s="54" t="s">
        <v>67</v>
      </c>
      <c r="E29" s="59">
        <f>E25-E27</f>
        <v>0</v>
      </c>
      <c r="F29" s="84">
        <f>+'Appendix A'!D41</f>
        <v>0.00043176588854531585</v>
      </c>
      <c r="G29" s="60">
        <f>E29*F29</f>
        <v>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</row>
    <row r="31" spans="2:3" ht="18">
      <c r="B31" s="53" t="s">
        <v>68</v>
      </c>
      <c r="C31" s="54" t="s">
        <v>69</v>
      </c>
    </row>
    <row r="32" spans="3:5" ht="15">
      <c r="C32" s="25" t="s">
        <v>70</v>
      </c>
      <c r="E32" s="55"/>
    </row>
    <row r="33" ht="8.25" customHeight="1"/>
    <row r="34" spans="3:5" ht="15">
      <c r="C34" s="25" t="s">
        <v>66</v>
      </c>
      <c r="E34" s="57"/>
    </row>
    <row r="35" ht="8.25" customHeight="1">
      <c r="E35" s="62"/>
    </row>
    <row r="36" spans="3:5" ht="15">
      <c r="C36" s="25" t="s">
        <v>71</v>
      </c>
      <c r="E36" s="57"/>
    </row>
    <row r="37" ht="8.25" customHeight="1">
      <c r="E37" s="62"/>
    </row>
    <row r="38" spans="3:5" ht="15">
      <c r="C38" s="25" t="s">
        <v>72</v>
      </c>
      <c r="E38" s="57"/>
    </row>
    <row r="39" ht="8.25" customHeight="1">
      <c r="E39" s="62"/>
    </row>
    <row r="40" spans="3:5" ht="15">
      <c r="C40" s="25" t="s">
        <v>73</v>
      </c>
      <c r="E40" s="57"/>
    </row>
    <row r="41" ht="8.25" customHeight="1">
      <c r="E41" s="62"/>
    </row>
    <row r="42" spans="3:5" ht="15">
      <c r="C42" s="180" t="s">
        <v>191</v>
      </c>
      <c r="E42" s="57"/>
    </row>
    <row r="43" ht="21.75" customHeight="1">
      <c r="C43" s="58"/>
    </row>
    <row r="44" spans="1:66" s="54" customFormat="1" ht="18">
      <c r="A44" s="54" t="s">
        <v>193</v>
      </c>
      <c r="E44" s="63">
        <f>E32-E34-E36-E38-E40-E42</f>
        <v>0</v>
      </c>
      <c r="F44" s="64">
        <f>+'Appendix A'!H41</f>
        <v>0.022695979452243054</v>
      </c>
      <c r="G44" s="60">
        <f>E44*F44</f>
        <v>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</row>
    <row r="46" spans="2:3" ht="18">
      <c r="B46" s="53" t="s">
        <v>74</v>
      </c>
      <c r="C46" s="54" t="s">
        <v>75</v>
      </c>
    </row>
    <row r="47" spans="3:5" ht="15">
      <c r="C47" s="25" t="s">
        <v>70</v>
      </c>
      <c r="E47" s="55"/>
    </row>
    <row r="48" ht="8.25" customHeight="1"/>
    <row r="49" spans="3:5" ht="15">
      <c r="C49" s="25" t="s">
        <v>66</v>
      </c>
      <c r="E49" s="57"/>
    </row>
    <row r="50" ht="8.25" customHeight="1">
      <c r="E50" s="62"/>
    </row>
    <row r="51" spans="3:5" ht="15">
      <c r="C51" s="25" t="s">
        <v>76</v>
      </c>
      <c r="E51" s="57"/>
    </row>
    <row r="52" ht="8.25" customHeight="1">
      <c r="E52" s="62"/>
    </row>
    <row r="53" spans="3:5" ht="15">
      <c r="C53" s="25" t="s">
        <v>77</v>
      </c>
      <c r="E53" s="57"/>
    </row>
    <row r="54" ht="8.25" customHeight="1">
      <c r="E54" s="62"/>
    </row>
    <row r="55" spans="3:5" ht="15">
      <c r="C55" s="25" t="s">
        <v>78</v>
      </c>
      <c r="E55" s="57"/>
    </row>
    <row r="56" ht="8.25" customHeight="1">
      <c r="E56" s="62"/>
    </row>
    <row r="57" spans="3:5" ht="15">
      <c r="C57" s="180" t="s">
        <v>191</v>
      </c>
      <c r="E57" s="57"/>
    </row>
    <row r="58" ht="21.75" customHeight="1">
      <c r="C58" s="58"/>
    </row>
    <row r="59" spans="1:66" s="54" customFormat="1" ht="18">
      <c r="A59" s="54" t="s">
        <v>193</v>
      </c>
      <c r="E59" s="63">
        <f>E47-E49-E51-E53-E55-E57</f>
        <v>0</v>
      </c>
      <c r="F59" s="64">
        <f>+'Appendix A'!I41</f>
        <v>0.017142774762406495</v>
      </c>
      <c r="G59" s="60">
        <f>E59*F59</f>
        <v>0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</row>
    <row r="60" spans="5:66" s="54" customFormat="1" ht="18">
      <c r="E60" s="65"/>
      <c r="F60" s="66"/>
      <c r="G60" s="67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</row>
    <row r="61" spans="2:3" ht="18">
      <c r="B61" s="53" t="s">
        <v>79</v>
      </c>
      <c r="C61" s="54" t="s">
        <v>80</v>
      </c>
    </row>
    <row r="62" spans="3:5" ht="15">
      <c r="C62" s="180" t="s">
        <v>192</v>
      </c>
      <c r="E62" s="55"/>
    </row>
    <row r="63" ht="8.25" customHeight="1"/>
    <row r="64" spans="3:5" ht="15">
      <c r="C64" s="180" t="s">
        <v>191</v>
      </c>
      <c r="E64" s="57"/>
    </row>
    <row r="65" ht="8.25" customHeight="1">
      <c r="E65" s="62"/>
    </row>
    <row r="66" ht="8.25" customHeight="1"/>
    <row r="67" spans="1:7" s="61" customFormat="1" ht="18">
      <c r="A67" s="54" t="s">
        <v>193</v>
      </c>
      <c r="B67" s="54"/>
      <c r="C67" s="54"/>
      <c r="D67" s="54"/>
      <c r="E67" s="63">
        <f>E62-E64</f>
        <v>0</v>
      </c>
      <c r="F67" s="64">
        <f>+'Appendix A'!K41</f>
        <v>0.004853108206402949</v>
      </c>
      <c r="G67" s="60">
        <f>E67*F67</f>
        <v>0</v>
      </c>
    </row>
    <row r="69" spans="2:3" ht="18">
      <c r="B69" s="53" t="s">
        <v>81</v>
      </c>
      <c r="C69" s="54" t="s">
        <v>82</v>
      </c>
    </row>
    <row r="70" spans="3:5" ht="15">
      <c r="C70" s="25" t="s">
        <v>70</v>
      </c>
      <c r="E70" s="55"/>
    </row>
    <row r="71" ht="8.25" customHeight="1"/>
    <row r="72" spans="3:5" ht="15">
      <c r="C72" s="25" t="s">
        <v>66</v>
      </c>
      <c r="E72" s="57"/>
    </row>
    <row r="73" ht="8.25" customHeight="1">
      <c r="E73" s="62"/>
    </row>
    <row r="74" spans="3:5" ht="15">
      <c r="C74" s="180" t="s">
        <v>191</v>
      </c>
      <c r="E74" s="57"/>
    </row>
    <row r="75" ht="8.25" customHeight="1"/>
    <row r="76" spans="1:7" s="61" customFormat="1" ht="18">
      <c r="A76" s="54" t="s">
        <v>193</v>
      </c>
      <c r="B76" s="54"/>
      <c r="C76" s="54"/>
      <c r="D76" s="54"/>
      <c r="E76" s="63">
        <f>E70-E72-E74</f>
        <v>0</v>
      </c>
      <c r="F76" s="64">
        <f>+'Appendix A'!E41</f>
        <v>0.003499820069330449</v>
      </c>
      <c r="G76" s="60">
        <f>E76*F76</f>
        <v>0</v>
      </c>
    </row>
    <row r="77" ht="11.25" customHeight="1"/>
    <row r="78" spans="2:3" ht="18">
      <c r="B78" s="53" t="s">
        <v>83</v>
      </c>
      <c r="C78" s="54" t="s">
        <v>84</v>
      </c>
    </row>
    <row r="79" spans="3:5" ht="15">
      <c r="C79" s="25" t="s">
        <v>70</v>
      </c>
      <c r="E79" s="55"/>
    </row>
    <row r="80" spans="1:5" s="61" customFormat="1" ht="18">
      <c r="A80" s="25"/>
      <c r="B80" s="25"/>
      <c r="C80" s="180" t="s">
        <v>191</v>
      </c>
      <c r="D80" s="25"/>
      <c r="E80" s="57"/>
    </row>
    <row r="81" spans="1:5" s="61" customFormat="1" ht="18">
      <c r="A81" s="25"/>
      <c r="B81" s="25"/>
      <c r="C81" s="180"/>
      <c r="D81" s="25"/>
      <c r="E81" s="291"/>
    </row>
    <row r="82" spans="1:7" s="61" customFormat="1" ht="18">
      <c r="A82" s="54" t="s">
        <v>193</v>
      </c>
      <c r="B82" s="54"/>
      <c r="C82" s="25"/>
      <c r="D82" s="25"/>
      <c r="E82" s="63">
        <f>E79-E80</f>
        <v>0</v>
      </c>
      <c r="F82" s="64">
        <f>+'Appendix A'!G41</f>
        <v>0.006740600786829907</v>
      </c>
      <c r="G82" s="60">
        <f>E82*F82</f>
        <v>0</v>
      </c>
    </row>
    <row r="83" spans="1:5" ht="18">
      <c r="A83" s="61"/>
      <c r="B83" s="54"/>
      <c r="C83" s="54"/>
      <c r="D83" s="54"/>
      <c r="E83" s="65"/>
    </row>
    <row r="84" spans="2:4" ht="18">
      <c r="B84" s="53" t="s">
        <v>86</v>
      </c>
      <c r="C84" s="54" t="s">
        <v>87</v>
      </c>
      <c r="D84" s="54"/>
    </row>
    <row r="85" spans="3:5" ht="15.75" customHeight="1">
      <c r="C85" s="25" t="s">
        <v>70</v>
      </c>
      <c r="E85" s="55"/>
    </row>
    <row r="86" ht="10.5" customHeight="1"/>
    <row r="87" spans="3:5" ht="12.75" customHeight="1">
      <c r="C87" s="25" t="s">
        <v>66</v>
      </c>
      <c r="E87" s="57"/>
    </row>
    <row r="88" ht="15">
      <c r="E88" s="62"/>
    </row>
    <row r="89" spans="3:5" ht="15">
      <c r="C89" s="180" t="s">
        <v>191</v>
      </c>
      <c r="E89" s="57"/>
    </row>
    <row r="90" ht="8.25" customHeight="1">
      <c r="C90" s="58"/>
    </row>
    <row r="91" spans="1:7" s="61" customFormat="1" ht="18">
      <c r="A91" s="54" t="s">
        <v>193</v>
      </c>
      <c r="B91" s="54"/>
      <c r="C91" s="54"/>
      <c r="D91" s="25"/>
      <c r="E91" s="63">
        <f>E85-E87-E89</f>
        <v>0</v>
      </c>
      <c r="F91" s="64">
        <f>+'Appendix A'!F41</f>
        <v>0.01457962910525606</v>
      </c>
      <c r="G91" s="60">
        <f>E91*F91</f>
        <v>0</v>
      </c>
    </row>
    <row r="92" spans="2:7" s="61" customFormat="1" ht="18">
      <c r="B92" s="54"/>
      <c r="C92" s="54"/>
      <c r="D92" s="54"/>
      <c r="E92" s="65"/>
      <c r="F92" s="68"/>
      <c r="G92" s="67"/>
    </row>
    <row r="93" spans="2:4" ht="18">
      <c r="B93" s="53" t="s">
        <v>88</v>
      </c>
      <c r="C93" s="54" t="s">
        <v>89</v>
      </c>
      <c r="D93" s="54"/>
    </row>
    <row r="94" spans="3:5" ht="15">
      <c r="C94" s="25" t="s">
        <v>70</v>
      </c>
      <c r="E94" s="55"/>
    </row>
    <row r="95" ht="12" customHeight="1"/>
    <row r="96" spans="3:5" ht="15">
      <c r="C96" s="25" t="s">
        <v>90</v>
      </c>
      <c r="E96" s="57"/>
    </row>
    <row r="97" ht="8.25" customHeight="1">
      <c r="E97" s="62"/>
    </row>
    <row r="98" spans="3:5" ht="15">
      <c r="C98" s="180" t="s">
        <v>191</v>
      </c>
      <c r="E98" s="57"/>
    </row>
    <row r="99" spans="3:5" ht="15">
      <c r="C99" s="180"/>
      <c r="E99" s="57"/>
    </row>
    <row r="100" spans="1:7" s="61" customFormat="1" ht="18">
      <c r="A100" s="54" t="s">
        <v>193</v>
      </c>
      <c r="B100" s="54"/>
      <c r="C100" s="54"/>
      <c r="D100" s="25"/>
      <c r="E100" s="63">
        <f>E94-E96-E98</f>
        <v>0</v>
      </c>
      <c r="F100" s="64">
        <f>+'Appendix A'!J41</f>
        <v>0.010061236569157753</v>
      </c>
      <c r="G100" s="60">
        <f>IF(E100="","",F100*E100)</f>
        <v>0</v>
      </c>
    </row>
    <row r="101" ht="8.25" customHeight="1">
      <c r="D101" s="54"/>
    </row>
    <row r="102" spans="2:3" ht="18">
      <c r="B102" s="53" t="s">
        <v>86</v>
      </c>
      <c r="C102" s="54" t="s">
        <v>91</v>
      </c>
    </row>
    <row r="103" spans="3:5" ht="15">
      <c r="C103" s="25" t="s">
        <v>70</v>
      </c>
      <c r="E103" s="55"/>
    </row>
    <row r="104" ht="8.25" customHeight="1"/>
    <row r="105" spans="3:5" ht="15">
      <c r="C105" s="25" t="s">
        <v>85</v>
      </c>
      <c r="E105" s="57"/>
    </row>
    <row r="106" ht="9" customHeight="1">
      <c r="E106" s="183"/>
    </row>
    <row r="107" spans="3:5" ht="15">
      <c r="C107" s="180" t="s">
        <v>191</v>
      </c>
      <c r="E107" s="57"/>
    </row>
    <row r="108" ht="11.25" customHeight="1"/>
    <row r="109" spans="1:7" s="61" customFormat="1" ht="18">
      <c r="A109" s="54" t="s">
        <v>193</v>
      </c>
      <c r="B109" s="54"/>
      <c r="C109" s="54"/>
      <c r="D109" s="25"/>
      <c r="E109" s="63">
        <f>E103-E105</f>
        <v>0</v>
      </c>
      <c r="F109" s="64">
        <f>+'Appendix A'!L41</f>
        <v>0.0014311945941008688</v>
      </c>
      <c r="G109" s="60">
        <f>IF(E109="","",F109*E109)</f>
        <v>0</v>
      </c>
    </row>
    <row r="110" spans="2:7" s="61" customFormat="1" ht="18">
      <c r="B110" s="54"/>
      <c r="C110" s="54"/>
      <c r="D110" s="54"/>
      <c r="E110" s="65"/>
      <c r="F110" s="66"/>
      <c r="G110" s="67"/>
    </row>
    <row r="111" spans="1:66" s="69" customFormat="1" ht="18.75">
      <c r="A111" s="69">
        <v>2</v>
      </c>
      <c r="C111" s="70" t="s">
        <v>92</v>
      </c>
      <c r="D111" s="54"/>
      <c r="E111" s="71"/>
      <c r="F111" s="71"/>
      <c r="G111" s="60">
        <f>G109+G100+G91+G82+G76+G67+G59+G44+G29</f>
        <v>0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</row>
    <row r="112" spans="4:7" s="53" customFormat="1" ht="3" customHeight="1" thickBot="1">
      <c r="D112" s="69"/>
      <c r="G112" s="72"/>
    </row>
    <row r="113" spans="4:7" ht="16.5" thickTop="1">
      <c r="D113" s="53"/>
      <c r="G113" s="73"/>
    </row>
    <row r="115" ht="12.75" customHeight="1"/>
    <row r="119" spans="2:5" ht="15">
      <c r="B119" s="74"/>
      <c r="E119" s="75" t="s">
        <v>43</v>
      </c>
    </row>
    <row r="122" spans="1:6" ht="15.75">
      <c r="A122" s="182" t="s">
        <v>186</v>
      </c>
      <c r="F122" s="182" t="s">
        <v>187</v>
      </c>
    </row>
    <row r="124" spans="1:6" ht="15">
      <c r="A124" s="25" t="s">
        <v>93</v>
      </c>
      <c r="F124" s="25" t="s">
        <v>26</v>
      </c>
    </row>
    <row r="125" spans="1:6" ht="15">
      <c r="A125" s="180" t="s">
        <v>419</v>
      </c>
      <c r="F125" s="25" t="s">
        <v>42</v>
      </c>
    </row>
    <row r="126" spans="1:6" ht="15">
      <c r="A126" s="25" t="s">
        <v>94</v>
      </c>
      <c r="F126" s="25" t="s">
        <v>95</v>
      </c>
    </row>
    <row r="127" spans="1:6" ht="15">
      <c r="A127" s="25" t="s">
        <v>96</v>
      </c>
      <c r="F127" s="25" t="s">
        <v>97</v>
      </c>
    </row>
    <row r="128" spans="1:6" ht="15">
      <c r="A128" s="25" t="s">
        <v>98</v>
      </c>
      <c r="F128" s="25" t="s">
        <v>99</v>
      </c>
    </row>
    <row r="131" ht="15">
      <c r="A131" s="25" t="s">
        <v>100</v>
      </c>
    </row>
    <row r="132" ht="15">
      <c r="A132" s="25" t="s">
        <v>101</v>
      </c>
    </row>
    <row r="134" spans="5:7" ht="15">
      <c r="E134" s="76" t="s">
        <v>102</v>
      </c>
      <c r="F134" s="33"/>
      <c r="G134" s="25" t="s">
        <v>103</v>
      </c>
    </row>
    <row r="135" spans="6:7" ht="15">
      <c r="F135" s="77"/>
      <c r="G135" s="25" t="s">
        <v>104</v>
      </c>
    </row>
    <row r="137" ht="15">
      <c r="A137" s="78" t="s">
        <v>111</v>
      </c>
    </row>
    <row r="138" ht="15">
      <c r="A138" s="78" t="s">
        <v>112</v>
      </c>
    </row>
    <row r="139" ht="15">
      <c r="A139" s="78" t="s">
        <v>113</v>
      </c>
    </row>
    <row r="140" ht="15">
      <c r="A140" s="78" t="s">
        <v>105</v>
      </c>
    </row>
    <row r="141" spans="1:7" ht="15">
      <c r="A141" s="79" t="s">
        <v>106</v>
      </c>
      <c r="B141" s="80"/>
      <c r="C141" s="80"/>
      <c r="D141" s="79" t="s">
        <v>107</v>
      </c>
      <c r="E141" s="80"/>
      <c r="F141" s="79" t="s">
        <v>108</v>
      </c>
      <c r="G141" s="80"/>
    </row>
    <row r="142" spans="1:7" ht="15">
      <c r="A142" s="81"/>
      <c r="B142" s="82"/>
      <c r="C142" s="82"/>
      <c r="D142" s="83"/>
      <c r="E142" s="33"/>
      <c r="F142" s="83"/>
      <c r="G142" s="33"/>
    </row>
    <row r="145" ht="15">
      <c r="A145" s="180" t="s">
        <v>188</v>
      </c>
    </row>
    <row r="148" ht="15">
      <c r="A148" s="25" t="s">
        <v>109</v>
      </c>
    </row>
    <row r="151" ht="15">
      <c r="A151" s="25" t="s">
        <v>110</v>
      </c>
    </row>
    <row r="153" ht="15">
      <c r="G153" s="180"/>
    </row>
    <row r="154" ht="15">
      <c r="G154" s="180"/>
    </row>
  </sheetData>
  <sheetProtection/>
  <mergeCells count="4">
    <mergeCell ref="F9:G9"/>
    <mergeCell ref="F12:G12"/>
    <mergeCell ref="F11:G11"/>
    <mergeCell ref="F10:G10"/>
  </mergeCells>
  <printOptions horizontalCentered="1"/>
  <pageMargins left="0.45" right="0.4" top="0.74" bottom="0.75" header="0.27" footer="0.5"/>
  <pageSetup fitToHeight="0" horizontalDpi="600" verticalDpi="600" orientation="portrait" scale="76" r:id="rId3"/>
  <headerFooter alignWithMargins="0">
    <oddFooter>&amp;R&amp;8Order U-09-50(2)/P-09-9(2)
Appendix B
Page &amp;P of &amp;N</oddFooter>
  </headerFooter>
  <rowBreaks count="2" manualBreakCount="2">
    <brk id="60" max="255" man="1"/>
    <brk id="113" max="6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.28125" style="0" bestFit="1" customWidth="1"/>
    <col min="2" max="2" width="29.00390625" style="0" bestFit="1" customWidth="1"/>
    <col min="3" max="3" width="5.7109375" style="0" bestFit="1" customWidth="1"/>
    <col min="4" max="4" width="68.8515625" style="0" customWidth="1"/>
    <col min="5" max="5" width="8.57421875" style="0" bestFit="1" customWidth="1"/>
    <col min="6" max="6" width="41.421875" style="0" customWidth="1"/>
    <col min="7" max="7" width="5.7109375" style="0" customWidth="1"/>
  </cols>
  <sheetData>
    <row r="1" ht="18">
      <c r="D1" s="22" t="s">
        <v>200</v>
      </c>
    </row>
    <row r="2" ht="18">
      <c r="D2" s="22" t="s">
        <v>199</v>
      </c>
    </row>
    <row r="3" spans="1:6" ht="15">
      <c r="A3" s="87"/>
      <c r="B3" s="91"/>
      <c r="C3" s="18"/>
      <c r="D3" s="88"/>
      <c r="E3" s="18"/>
      <c r="F3" s="88"/>
    </row>
    <row r="4" spans="1:6" ht="15">
      <c r="A4" s="87"/>
      <c r="B4" s="91"/>
      <c r="C4" s="18"/>
      <c r="D4" s="88"/>
      <c r="E4" s="18"/>
      <c r="F4" s="88"/>
    </row>
    <row r="5" spans="1:6" ht="15">
      <c r="A5" s="190"/>
      <c r="B5" s="191" t="s">
        <v>440</v>
      </c>
      <c r="C5" s="192"/>
      <c r="D5" s="193"/>
      <c r="E5" s="192"/>
      <c r="F5" s="193"/>
    </row>
    <row r="6" spans="1:6" ht="15" customHeight="1">
      <c r="A6" s="190" t="s">
        <v>32</v>
      </c>
      <c r="B6" s="194">
        <v>39918</v>
      </c>
      <c r="C6" s="192"/>
      <c r="D6" s="193" t="s">
        <v>209</v>
      </c>
      <c r="E6" s="192"/>
      <c r="F6" s="193"/>
    </row>
    <row r="7" spans="1:6" ht="15" customHeight="1">
      <c r="A7" s="190" t="s">
        <v>33</v>
      </c>
      <c r="B7" s="194">
        <f>+B6</f>
        <v>39918</v>
      </c>
      <c r="C7" s="192"/>
      <c r="D7" s="193" t="s">
        <v>141</v>
      </c>
      <c r="E7" s="192"/>
      <c r="F7" s="193"/>
    </row>
    <row r="8" spans="1:6" ht="15" customHeight="1">
      <c r="A8" s="190" t="s">
        <v>34</v>
      </c>
      <c r="B8" s="194">
        <v>39945</v>
      </c>
      <c r="C8" s="192">
        <v>2</v>
      </c>
      <c r="D8" s="193" t="s">
        <v>317</v>
      </c>
      <c r="E8" s="192">
        <f>+B8-B6</f>
        <v>27</v>
      </c>
      <c r="F8" s="193" t="s">
        <v>121</v>
      </c>
    </row>
    <row r="9" spans="1:6" ht="30">
      <c r="A9" s="190" t="s">
        <v>35</v>
      </c>
      <c r="B9" s="194">
        <v>39974</v>
      </c>
      <c r="C9" s="192">
        <f>+B9-B8</f>
        <v>29</v>
      </c>
      <c r="D9" s="193" t="s">
        <v>140</v>
      </c>
      <c r="E9" s="192">
        <f>+B9-B8</f>
        <v>29</v>
      </c>
      <c r="F9" s="193" t="s">
        <v>143</v>
      </c>
    </row>
    <row r="10" spans="1:6" ht="15">
      <c r="A10" s="190" t="s">
        <v>36</v>
      </c>
      <c r="B10" s="194">
        <v>39975</v>
      </c>
      <c r="C10" s="192">
        <v>3</v>
      </c>
      <c r="D10" s="193" t="s">
        <v>122</v>
      </c>
      <c r="E10" s="192">
        <f>+B10-B8</f>
        <v>30</v>
      </c>
      <c r="F10" s="193" t="s">
        <v>145</v>
      </c>
    </row>
    <row r="11" spans="1:6" ht="15">
      <c r="A11" s="190" t="s">
        <v>142</v>
      </c>
      <c r="B11" s="194">
        <f>+C11+B10</f>
        <v>39980</v>
      </c>
      <c r="C11" s="192">
        <v>5</v>
      </c>
      <c r="D11" s="193" t="s">
        <v>37</v>
      </c>
      <c r="E11" s="192"/>
      <c r="F11" s="193" t="s">
        <v>38</v>
      </c>
    </row>
    <row r="12" spans="1:6" ht="15">
      <c r="A12" s="190" t="s">
        <v>144</v>
      </c>
      <c r="B12" s="194">
        <v>39995</v>
      </c>
      <c r="C12" s="192"/>
      <c r="D12" s="193" t="s">
        <v>152</v>
      </c>
      <c r="E12" s="192"/>
      <c r="F12" s="193"/>
    </row>
    <row r="13" spans="1:6" ht="15">
      <c r="A13" s="87"/>
      <c r="B13" s="91"/>
      <c r="C13" s="18"/>
      <c r="D13" s="88"/>
      <c r="E13" s="18"/>
      <c r="F13" s="88"/>
    </row>
    <row r="14" spans="1:6" ht="15">
      <c r="A14" s="87"/>
      <c r="B14" s="91"/>
      <c r="C14" s="18"/>
      <c r="D14" s="88"/>
      <c r="E14" s="18"/>
      <c r="F14" s="88"/>
    </row>
    <row r="15" spans="1:7" ht="44.25">
      <c r="A15" s="89"/>
      <c r="B15" s="89"/>
      <c r="D15" s="89"/>
      <c r="F15" s="89"/>
      <c r="G15" s="89"/>
    </row>
    <row r="16" spans="1:7" ht="44.25">
      <c r="A16" s="89"/>
      <c r="B16" s="89"/>
      <c r="D16" s="89"/>
      <c r="F16" s="89"/>
      <c r="G16" s="89"/>
    </row>
    <row r="17" spans="1:7" ht="44.25">
      <c r="A17" s="89"/>
      <c r="B17" s="89"/>
      <c r="D17" s="89"/>
      <c r="F17" s="89"/>
      <c r="G17" s="89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Fairchild</dc:creator>
  <cp:keywords/>
  <dc:description/>
  <cp:lastModifiedBy>dawheeler2</cp:lastModifiedBy>
  <cp:lastPrinted>2009-06-22T23:03:27Z</cp:lastPrinted>
  <dcterms:created xsi:type="dcterms:W3CDTF">2000-08-10T18:08:08Z</dcterms:created>
  <dcterms:modified xsi:type="dcterms:W3CDTF">2009-06-29T17:10:20Z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